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R:\TCS\CT\Forms\REACH RoHS General\"/>
    </mc:Choice>
  </mc:AlternateContent>
  <xr:revisionPtr revIDLastSave="0" documentId="8_{D01DF086-87C9-426B-A130-79053EFA95B8}"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19420" windowHeight="11500" tabRatio="789" activeTab="1"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C6" i="5"/>
  <c r="AB6" i="5"/>
  <c r="V6" i="5"/>
  <c r="E6" i="5"/>
  <c r="X6" i="5"/>
  <c r="B6" i="5"/>
  <c r="T6" i="5"/>
  <c r="S6" i="5"/>
  <c r="R6" i="5"/>
  <c r="J6" i="5"/>
  <c r="I6" i="5"/>
  <c r="H6" i="5"/>
  <c r="G6" i="5"/>
  <c r="F6" i="5"/>
  <c r="C5" i="5"/>
  <c r="AB5" i="5"/>
  <c r="V5" i="5"/>
  <c r="E5" i="5"/>
  <c r="X5" i="5"/>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<sst xmlns="http://schemas.openxmlformats.org/spreadsheetml/2006/main" count="28009" uniqueCount="20057">
  <si>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</si>
  <si>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</si>
  <si>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</si>
  <si>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</si>
  <si>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</si>
  <si>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</si>
  <si>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</si>
  <si>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</si>
  <si>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</si>
  <si>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</si>
  <si>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</si>
  <si>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</si>
  <si>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</si>
  <si>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</si>
  <si>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</si>
  <si>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</si>
  <si>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</si>
  <si>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</si>
  <si>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</si>
  <si>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</si>
  <si>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</si>
  <si>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</si>
  <si>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</si>
  <si>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</si>
  <si>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</si>
  <si>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</si>
  <si>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</si>
  <si>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</si>
  <si>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</si>
  <si>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</si>
  <si>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</si>
  <si>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</si>
  <si>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</si>
  <si>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</si>
  <si>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</si>
  <si>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</si>
  <si>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</si>
  <si>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</si>
  <si>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</si>
  <si>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</si>
  <si>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</si>
  <si>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</si>
  <si>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</si>
  <si>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</si>
  <si>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</si>
  <si>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</si>
  <si>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</si>
  <si>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</si>
  <si>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</si>
  <si>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</si>
  <si>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</si>
  <si>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</si>
  <si>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</si>
  <si>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</si>
  <si>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</si>
  <si>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</si>
  <si>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</si>
  <si>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</si>
  <si>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</si>
  <si>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</si>
  <si>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</si>
  <si>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</si>
  <si>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</si>
  <si>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</si>
  <si>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</si>
  <si>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</si>
  <si>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</si>
  <si>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</si>
  <si>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</si>
  <si>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</si>
  <si>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</si>
  <si>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</si>
  <si>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</si>
  <si>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</si>
  <si>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</si>
  <si>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</si>
  <si>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</si>
  <si>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</si>
  <si>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</si>
  <si>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</si>
  <si>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</si>
  <si>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</si>
  <si>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</si>
  <si>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</si>
  <si>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</si>
  <si>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</si>
  <si>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</si>
  <si>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</si>
  <si>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</si>
  <si>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</si>
  <si>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</si>
  <si>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</si>
  <si>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</si>
  <si>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</si>
  <si>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</si>
  <si>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</si>
  <si>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</si>
  <si>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</si>
  <si>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</si>
  <si>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</si>
  <si>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</si>
  <si>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</si>
  <si>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</si>
  <si>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</si>
  <si>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</si>
  <si>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</si>
  <si>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</si>
  <si>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</si>
  <si>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</si>
  <si>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</si>
  <si>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</si>
  <si>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</si>
  <si>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</si>
  <si>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</si>
  <si>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</si>
  <si>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</si>
  <si>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</si>
  <si>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</si>
  <si>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</si>
  <si>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</si>
  <si>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</si>
  <si>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</si>
  <si>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</si>
  <si>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</si>
  <si>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</si>
  <si>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</si>
  <si>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</si>
  <si>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</si>
  <si>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</si>
  <si>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</si>
  <si>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</si>
  <si>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</si>
  <si>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</si>
  <si>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</si>
  <si>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</si>
  <si>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</si>
  <si>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</si>
  <si>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</si>
  <si>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</si>
  <si>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</si>
  <si>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</si>
  <si>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</si>
  <si>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</si>
  <si>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</si>
  <si>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</si>
  <si>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</si>
  <si>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</si>
  <si>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</si>
  <si>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</si>
  <si>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</si>
  <si>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</si>
  <si>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</si>
  <si>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</si>
  <si>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</si>
  <si>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</si>
  <si>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</si>
  <si>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</si>
  <si>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</si>
  <si>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</si>
  <si>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</si>
  <si>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</si>
  <si>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</si>
  <si>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</si>
  <si>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</si>
  <si>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</si>
  <si>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</si>
  <si>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</si>
  <si>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</si>
  <si>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</si>
  <si>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</si>
  <si>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</si>
  <si>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</si>
  <si>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</si>
  <si>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</si>
  <si>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</si>
  <si>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</si>
  <si>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</si>
  <si>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</si>
  <si>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</si>
  <si>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</si>
  <si>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</si>
  <si>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</si>
  <si>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</si>
  <si>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</si>
  <si>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</si>
  <si>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</si>
  <si>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</si>
  <si>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</si>
  <si>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</si>
  <si>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</si>
  <si>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</si>
  <si>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</si>
  <si>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</si>
  <si>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</si>
  <si>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</si>
  <si>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</si>
  <si>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</si>
  <si>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</si>
  <si>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</si>
  <si>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</si>
  <si>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</si>
  <si>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</si>
  <si>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</si>
  <si>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</si>
  <si>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</si>
  <si>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</si>
  <si>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</si>
  <si>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</si>
  <si>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</si>
  <si>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</si>
  <si>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</si>
  <si>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</si>
  <si>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</si>
  <si>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</si>
  <si>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</si>
  <si>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</si>
  <si>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</si>
  <si>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</si>
  <si>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</si>
  <si>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</si>
  <si>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</si>
  <si>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</si>
  <si>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</si>
  <si>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</si>
  <si>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</si>
  <si>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</si>
  <si>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</si>
  <si>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</si>
  <si>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</si>
  <si>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</si>
  <si>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</si>
  <si>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</si>
  <si>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</si>
  <si>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</si>
  <si>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</si>
  <si>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</si>
  <si>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</si>
  <si>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</si>
  <si>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</si>
  <si>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</si>
  <si>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</si>
  <si>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</si>
  <si>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</si>
  <si>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</si>
  <si>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</si>
  <si>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</si>
  <si>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</si>
  <si>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</si>
  <si>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</si>
  <si>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</si>
  <si>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</si>
  <si>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</si>
  <si>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</si>
  <si>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</si>
  <si>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</si>
  <si>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</si>
  <si>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</si>
  <si>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</si>
  <si>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</si>
  <si>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</si>
  <si>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</si>
  <si>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</si>
  <si>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</si>
  <si>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</si>
  <si>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</si>
  <si>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</si>
  <si>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</si>
  <si>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</si>
  <si>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</si>
  <si>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</si>
  <si>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</si>
  <si>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</si>
  <si>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</si>
  <si>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</si>
  <si>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</si>
  <si>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</si>
  <si>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</si>
  <si>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</si>
  <si>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</si>
  <si>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</si>
  <si>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</si>
  <si>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</si>
  <si>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</si>
  <si>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</si>
  <si>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</si>
  <si>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</si>
  <si>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</si>
  <si>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</si>
  <si>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</si>
  <si>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</si>
  <si>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</si>
  <si>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</si>
  <si>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</si>
  <si>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</si>
  <si>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</si>
  <si>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</si>
  <si>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</si>
  <si>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</si>
  <si>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</si>
  <si>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</si>
  <si>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</si>
  <si>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</si>
  <si>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</si>
  <si>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</si>
  <si>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</si>
  <si>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</si>
  <si>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</si>
  <si>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</si>
  <si>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</si>
  <si>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</si>
  <si>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</si>
  <si>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</si>
  <si>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</si>
  <si>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</si>
  <si>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</si>
  <si>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</si>
  <si>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</si>
  <si>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</si>
  <si>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</si>
  <si>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</si>
  <si>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</si>
  <si>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</si>
  <si>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</si>
  <si>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</si>
  <si>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</si>
  <si>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</si>
  <si>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</si>
  <si>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</si>
  <si>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</si>
  <si>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</si>
  <si>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</si>
  <si>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</si>
  <si>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</si>
  <si>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</si>
  <si>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</si>
  <si>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</si>
  <si>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</si>
  <si>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</si>
  <si>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</si>
  <si>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</si>
  <si>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</si>
  <si>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</si>
  <si>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</si>
  <si>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</si>
  <si>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</si>
  <si>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</si>
  <si>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</si>
  <si>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</si>
  <si>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</si>
  <si>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</si>
  <si>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</si>
  <si>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</si>
  <si>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</si>
  <si>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</si>
  <si>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</si>
  <si>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</si>
  <si>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</si>
  <si>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</si>
  <si>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</si>
  <si>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</si>
  <si>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</si>
  <si>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</si>
  <si>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</si>
  <si>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</si>
  <si>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</si>
  <si>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</si>
  <si>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</si>
  <si>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</si>
  <si>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</si>
  <si>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</si>
  <si>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</si>
  <si>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</si>
  <si>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</si>
  <si>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</si>
  <si>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</si>
  <si>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</si>
  <si>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</si>
  <si>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</si>
  <si>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</si>
  <si>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</si>
  <si>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</si>
  <si>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</si>
  <si>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</si>
  <si>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</si>
  <si>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</si>
  <si>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</si>
  <si>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</si>
  <si>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</si>
  <si>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</si>
  <si>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</si>
  <si>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</si>
  <si>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</si>
  <si>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</si>
  <si>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</si>
  <si>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</si>
  <si>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</si>
  <si>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</si>
  <si>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</si>
  <si>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</si>
  <si>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</si>
  <si>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</si>
  <si>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</si>
  <si>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</si>
  <si>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</si>
  <si>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</si>
  <si>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</si>
  <si>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</si>
  <si>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</si>
  <si>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</si>
  <si>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</si>
  <si>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</si>
  <si>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</si>
  <si>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</si>
  <si>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</si>
  <si>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</si>
  <si>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</si>
  <si>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</si>
  <si>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</si>
  <si>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</si>
  <si>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</si>
  <si>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</si>
  <si>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</si>
  <si>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</si>
  <si>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</si>
  <si>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</si>
  <si>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</si>
  <si>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</si>
  <si>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</si>
  <si>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</si>
  <si>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</si>
  <si>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</si>
  <si>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</si>
  <si>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</si>
  <si>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</si>
  <si>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</si>
  <si>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</si>
  <si>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</si>
  <si>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</si>
  <si>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</si>
  <si>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</si>
  <si>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</si>
  <si>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</si>
  <si>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</si>
  <si>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</si>
  <si>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</si>
  <si>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</si>
  <si>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</si>
  <si>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</si>
  <si>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</si>
  <si>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</si>
  <si>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</si>
  <si>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</si>
  <si>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</si>
  <si>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</si>
  <si>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</si>
  <si>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</si>
  <si>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</si>
  <si>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</si>
  <si>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</si>
  <si>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</si>
  <si>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</si>
  <si>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</si>
  <si>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</si>
  <si>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</si>
  <si>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</si>
  <si>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</si>
  <si>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</si>
  <si>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</si>
  <si>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</si>
  <si>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</si>
  <si>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</si>
  <si>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</si>
  <si>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</si>
  <si>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</si>
  <si>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</si>
  <si>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</si>
  <si>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</si>
  <si>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</si>
  <si>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</si>
  <si>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</si>
  <si>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</si>
  <si>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</si>
  <si>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</si>
  <si>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</si>
  <si>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</si>
  <si>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</si>
  <si>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</si>
  <si>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</si>
  <si>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</si>
  <si>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</si>
  <si>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</si>
  <si>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</si>
  <si>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</si>
  <si>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</si>
  <si>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</si>
  <si>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</si>
  <si>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</si>
  <si>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</si>
  <si>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</si>
  <si>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</si>
  <si>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</si>
  <si>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</si>
  <si>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</si>
  <si>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</si>
  <si>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</si>
  <si>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</si>
  <si>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</si>
  <si>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</si>
  <si>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</si>
  <si>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</si>
  <si>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</si>
  <si>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</si>
  <si>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</si>
  <si>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</si>
  <si>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</si>
  <si>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</si>
  <si>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</si>
  <si>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</si>
  <si>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</si>
  <si>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</si>
  <si>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</si>
  <si>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</si>
  <si>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</si>
  <si>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</si>
  <si>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</si>
  <si>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</si>
  <si>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</si>
  <si>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</si>
  <si>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</si>
  <si>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</si>
  <si>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</si>
  <si>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</si>
  <si>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</si>
  <si>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</si>
  <si>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</si>
  <si>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</si>
  <si>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</si>
  <si>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</si>
  <si>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</si>
  <si>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</si>
  <si>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</si>
  <si>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</si>
  <si>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</si>
  <si>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</si>
  <si>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</si>
  <si>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</si>
  <si>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</si>
  <si>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</si>
  <si>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</si>
  <si>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</si>
  <si>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</si>
  <si>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</si>
  <si>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</si>
  <si>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</si>
  <si>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</si>
  <si>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</si>
  <si>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</si>
  <si>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</si>
  <si>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</si>
  <si>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</si>
  <si>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</si>
  <si>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</si>
  <si>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</si>
  <si>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</si>
  <si>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</si>
  <si>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</si>
  <si>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</si>
  <si>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</si>
  <si>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</si>
  <si>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</si>
  <si>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</si>
  <si>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</si>
  <si>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</si>
  <si>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</si>
  <si>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</si>
  <si>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</si>
  <si>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</si>
  <si>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</si>
  <si>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</si>
  <si>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</si>
  <si>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</si>
  <si>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</si>
  <si>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</si>
  <si>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</si>
  <si>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</si>
  <si>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</si>
  <si>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</si>
  <si>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</si>
  <si>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</si>
  <si>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</si>
  <si>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</si>
  <si>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</si>
  <si>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</si>
  <si>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</si>
  <si>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</si>
  <si>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</si>
  <si>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</si>
  <si>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</si>
  <si>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</si>
  <si>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</si>
  <si>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</si>
  <si>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</si>
  <si>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</si>
  <si>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</si>
  <si>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</si>
  <si>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</si>
  <si>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</si>
  <si>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</si>
  <si>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</si>
  <si>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</si>
  <si>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</si>
  <si>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</si>
  <si>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</si>
  <si>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</si>
  <si>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</si>
  <si>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</si>
  <si>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</si>
  <si>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</si>
  <si>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</si>
  <si>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</si>
  <si>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</si>
  <si>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</si>
  <si>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</si>
  <si>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</si>
  <si>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</si>
  <si>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</si>
  <si>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</si>
  <si>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</si>
  <si>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</si>
  <si>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</si>
  <si>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</si>
  <si>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</si>
  <si>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</si>
  <si>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</si>
  <si>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</si>
  <si>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</si>
  <si>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</si>
  <si>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</si>
  <si>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</si>
  <si>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</si>
  <si>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</si>
  <si>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</si>
  <si>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</si>
  <si>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</si>
  <si>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</si>
  <si>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</si>
  <si>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</si>
  <si>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</si>
  <si>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</si>
  <si>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</si>
  <si>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</si>
  <si>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</si>
  <si>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</si>
  <si>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</si>
  <si>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</si>
  <si>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</si>
  <si>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</si>
  <si>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</si>
  <si>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</si>
  <si>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</si>
  <si>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</si>
  <si>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</si>
  <si>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</si>
  <si>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</si>
  <si>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</si>
  <si>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</si>
  <si>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</si>
  <si>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</si>
  <si>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</si>
  <si>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</si>
  <si>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</si>
  <si>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</si>
  <si>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</si>
  <si>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</si>
  <si>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</si>
  <si>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</si>
  <si>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</si>
  <si>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</si>
  <si>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</si>
  <si>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</si>
  <si>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</si>
  <si>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</si>
  <si>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</si>
  <si>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</si>
  <si>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</si>
  <si>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</si>
  <si>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</si>
  <si>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</si>
  <si>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</si>
  <si>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</si>
  <si>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</si>
  <si>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</si>
  <si>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</si>
  <si>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</si>
  <si>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</si>
  <si>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</si>
  <si>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</si>
  <si>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</si>
  <si>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</si>
  <si>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</si>
  <si>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</si>
  <si>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</si>
  <si>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</si>
  <si>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</si>
  <si>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</si>
  <si>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</si>
  <si>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</si>
  <si>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</si>
  <si>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</si>
  <si>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</si>
  <si>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</si>
  <si>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</si>
  <si>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</si>
  <si>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</si>
  <si>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</si>
  <si>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</si>
  <si>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</si>
  <si>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</si>
  <si>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</si>
  <si>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</si>
  <si>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</si>
  <si>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</si>
  <si>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</si>
  <si>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</si>
  <si>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</si>
  <si>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</si>
  <si>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</si>
  <si>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</si>
  <si>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</si>
  <si>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</si>
  <si>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</si>
  <si>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</si>
  <si>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</si>
  <si>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</si>
  <si>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</si>
  <si>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</si>
  <si>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</si>
  <si>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</si>
  <si>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</si>
  <si>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</si>
  <si>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</si>
  <si>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</si>
  <si>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</si>
  <si>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</si>
  <si>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</si>
  <si>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</si>
  <si>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</si>
  <si>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</si>
  <si>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</si>
  <si>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</si>
  <si>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</si>
  <si>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</si>
  <si>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</si>
  <si>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</si>
  <si>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</si>
  <si>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</si>
  <si>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</si>
  <si>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</si>
  <si>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</si>
  <si>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</si>
  <si>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</si>
  <si>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</si>
  <si>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</si>
  <si>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</si>
  <si>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</si>
  <si>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</si>
  <si>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</si>
  <si>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</si>
  <si>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</si>
  <si>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</si>
  <si>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</si>
  <si>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</si>
  <si>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</si>
  <si>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</si>
  <si>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</si>
  <si>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</si>
  <si>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</si>
  <si>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</si>
  <si>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</si>
  <si>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</si>
  <si>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</si>
  <si>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</si>
  <si>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</si>
  <si>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</si>
  <si>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</si>
  <si>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</si>
  <si>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</si>
  <si>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</si>
  <si>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</si>
  <si>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</si>
  <si>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</si>
  <si>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</si>
  <si>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</si>
  <si>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</si>
  <si>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</si>
  <si>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</si>
  <si>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</si>
  <si>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</si>
  <si>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</si>
  <si>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</si>
  <si>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</si>
  <si>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</si>
  <si>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</si>
  <si>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</si>
  <si>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</si>
  <si>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</si>
  <si>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</si>
  <si>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</si>
  <si>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</si>
  <si>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</si>
  <si>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</si>
  <si>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</si>
  <si>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</si>
  <si>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</si>
  <si>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</si>
  <si>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</si>
  <si>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</si>
  <si>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</si>
  <si>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</si>
  <si>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</si>
  <si>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</si>
  <si>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</si>
  <si>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</si>
  <si>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</si>
  <si>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</si>
  <si>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</si>
  <si>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</si>
  <si>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</si>
  <si>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</si>
  <si>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</si>
  <si>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</si>
  <si>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</si>
  <si>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</si>
  <si>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</si>
  <si>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</si>
  <si>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</si>
  <si>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</si>
  <si>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</si>
  <si>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</si>
  <si>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</si>
  <si>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</si>
  <si>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</si>
  <si>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</si>
  <si>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</si>
  <si>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</si>
  <si>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</si>
  <si>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</si>
  <si>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</si>
  <si>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</si>
  <si>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</si>
  <si>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</si>
  <si>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</si>
  <si>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</si>
  <si>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</si>
  <si>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</si>
  <si>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</si>
  <si>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</si>
  <si>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</si>
  <si>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</si>
  <si>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</si>
  <si>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</si>
  <si>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</si>
  <si>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</si>
  <si>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</si>
  <si>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</si>
  <si>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</si>
  <si>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</si>
  <si>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</si>
  <si>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</si>
  <si>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</si>
  <si>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</si>
  <si>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</si>
  <si>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</si>
  <si>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</si>
  <si>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</si>
  <si>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</si>
  <si>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</si>
  <si>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</si>
  <si>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</si>
  <si>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</si>
  <si>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</si>
  <si>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</si>
  <si>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</si>
  <si>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</si>
  <si>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</si>
  <si>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</si>
  <si>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</si>
  <si>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</si>
  <si>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</si>
  <si>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</si>
  <si>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</si>
  <si>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</si>
  <si>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</si>
  <si>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</si>
  <si>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</si>
  <si>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</si>
  <si>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</si>
  <si>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</si>
  <si>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</si>
  <si>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</si>
  <si>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</si>
  <si>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</si>
  <si>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</si>
  <si>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</si>
  <si>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</si>
  <si>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</si>
  <si>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</si>
  <si>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</si>
  <si>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</si>
  <si>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</si>
  <si>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</si>
  <si>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</si>
  <si>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</si>
  <si>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</si>
  <si>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</si>
  <si>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</si>
  <si>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</si>
  <si>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</si>
  <si>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</si>
  <si>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</si>
  <si>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</si>
  <si>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</si>
  <si>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</si>
  <si>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</si>
  <si>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</si>
  <si>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</si>
  <si>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</si>
  <si>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</si>
  <si>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</si>
  <si>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</si>
  <si>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</si>
  <si>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</si>
  <si>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</si>
  <si>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</si>
  <si>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</si>
  <si>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</si>
  <si>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</si>
  <si>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</si>
  <si>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</si>
  <si>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</si>
  <si>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</si>
  <si>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</si>
  <si>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</si>
  <si>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</si>
  <si>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</si>
  <si>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</si>
  <si>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</si>
  <si>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</si>
  <si>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</si>
  <si>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</si>
  <si>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</si>
  <si>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</si>
  <si>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</si>
  <si>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</si>
  <si>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</si>
  <si>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</si>
  <si>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</si>
  <si>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</si>
  <si>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</si>
  <si>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</si>
  <si>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</si>
  <si>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</si>
  <si>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</si>
  <si>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</si>
  <si>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</si>
  <si>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</si>
  <si>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</si>
  <si>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</si>
  <si>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</si>
  <si>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</si>
  <si>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</si>
  <si>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</si>
  <si>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</si>
  <si>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</si>
  <si>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</si>
  <si>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</si>
  <si>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</si>
  <si>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</si>
  <si>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</si>
  <si>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</si>
  <si>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</si>
  <si>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</si>
  <si>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</si>
  <si>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</si>
  <si>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</si>
  <si>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</si>
  <si>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</si>
  <si>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</si>
  <si>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</si>
  <si>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</si>
  <si>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</si>
  <si>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</si>
  <si>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</si>
  <si>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</si>
  <si>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</si>
  <si>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</si>
  <si>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</si>
  <si>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</si>
  <si>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</si>
  <si>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</si>
  <si>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</si>
  <si>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</si>
  <si>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</si>
  <si>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</si>
  <si>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</si>
  <si>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</si>
  <si>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</si>
  <si>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</si>
  <si>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</si>
  <si>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</si>
  <si>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</si>
  <si>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</si>
  <si>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</si>
  <si>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</si>
  <si>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</si>
  <si>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</si>
  <si>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</si>
  <si>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</si>
  <si>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</si>
  <si>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</si>
  <si>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</si>
  <si>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</si>
  <si>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</si>
  <si>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</si>
  <si>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</si>
  <si>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</si>
  <si>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</si>
  <si>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</si>
  <si>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</si>
  <si>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</si>
  <si>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</si>
  <si>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</si>
  <si>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</si>
  <si>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</si>
  <si>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</si>
  <si>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</si>
  <si>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</si>
  <si>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</si>
  <si>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</si>
  <si>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</si>
  <si>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</si>
  <si>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</si>
  <si>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</si>
  <si>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</si>
  <si>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</si>
  <si>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</si>
  <si>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</si>
  <si>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</si>
  <si>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</si>
  <si>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</si>
  <si>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</si>
  <si>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</si>
  <si>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</si>
  <si>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</si>
  <si>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</si>
  <si>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</si>
  <si>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</si>
  <si>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</si>
  <si>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</si>
  <si>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</si>
  <si>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</si>
  <si>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</si>
  <si>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</si>
  <si>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</si>
  <si>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</si>
  <si>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</si>
  <si>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</si>
  <si>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</si>
  <si>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</si>
  <si>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</si>
  <si>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</si>
  <si>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</si>
  <si>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</si>
  <si>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</si>
  <si>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</si>
  <si>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</si>
  <si>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</si>
  <si>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</si>
  <si>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</si>
  <si>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</si>
  <si>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</si>
  <si>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</si>
  <si>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</si>
  <si>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</si>
  <si>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</si>
  <si>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</si>
  <si>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</si>
  <si>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</si>
  <si>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</si>
  <si>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</si>
  <si>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</si>
  <si>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</si>
  <si>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</si>
  <si>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</si>
  <si>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</si>
  <si>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</si>
  <si>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</si>
  <si>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</si>
  <si>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</si>
  <si>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</si>
  <si>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</si>
  <si>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</si>
  <si>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</si>
  <si>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</si>
  <si>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</si>
  <si>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</si>
  <si>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</si>
  <si>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</si>
  <si>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</si>
  <si>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</si>
  <si>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</si>
  <si>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</si>
  <si>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</si>
  <si>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</si>
  <si>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</si>
  <si>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</si>
  <si>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</si>
  <si>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</si>
  <si>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</si>
  <si>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</si>
  <si>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</si>
  <si>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</si>
  <si>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</si>
  <si>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</si>
  <si>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</si>
  <si>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</si>
  <si>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</si>
  <si>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</si>
  <si>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</si>
  <si>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</si>
  <si>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</si>
  <si>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</si>
  <si>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</si>
  <si>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</si>
  <si>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</si>
  <si>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</si>
  <si>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</si>
  <si>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</si>
  <si>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</si>
  <si>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</si>
  <si>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</si>
  <si>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</si>
  <si>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</si>
  <si>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</si>
  <si>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</si>
  <si>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</si>
  <si>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</si>
  <si>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</si>
  <si>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</si>
  <si>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</si>
  <si>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</si>
  <si>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</si>
  <si>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</si>
  <si>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</si>
  <si>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</si>
  <si>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</si>
  <si>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</si>
  <si>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</si>
  <si>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</si>
  <si>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</si>
  <si>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</si>
  <si>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</si>
  <si>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</si>
  <si>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</si>
  <si>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</si>
  <si>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</si>
  <si>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</si>
  <si>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</si>
  <si>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</si>
  <si>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</si>
  <si>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</si>
  <si>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</si>
  <si>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</si>
  <si>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</si>
  <si>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</si>
  <si>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</si>
  <si>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</si>
  <si>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</si>
  <si>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</si>
  <si>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</si>
  <si>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</si>
  <si>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</si>
  <si>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</si>
  <si>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</si>
  <si>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</si>
  <si>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</si>
  <si>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</si>
  <si>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</si>
  <si>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</si>
  <si>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</si>
  <si>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</si>
  <si>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</si>
  <si>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</si>
  <si>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</si>
  <si>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</si>
  <si>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</si>
  <si>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</si>
  <si>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</si>
  <si>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</si>
  <si>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</si>
  <si>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</si>
  <si>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</si>
  <si>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</si>
  <si>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</si>
  <si>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</si>
  <si>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</si>
  <si>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</si>
  <si>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</si>
  <si>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</si>
  <si>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</si>
  <si>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</si>
  <si>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</si>
  <si>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</si>
  <si>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</si>
  <si>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</si>
  <si>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</si>
  <si>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</si>
  <si>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</si>
  <si>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</si>
  <si>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</si>
  <si>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</si>
  <si>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</si>
  <si>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</si>
  <si>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</si>
  <si>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</si>
  <si>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</si>
  <si>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</si>
  <si>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</si>
  <si>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</si>
  <si>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</si>
  <si>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</si>
  <si>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</si>
  <si>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</si>
  <si>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</si>
  <si>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</si>
  <si>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</si>
  <si>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</si>
  <si>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</si>
  <si>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</si>
  <si>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</si>
  <si>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</si>
  <si>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</si>
  <si>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</si>
  <si>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</si>
  <si>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</si>
  <si>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</si>
  <si>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</si>
  <si>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</si>
  <si>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</si>
  <si>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</si>
  <si>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</si>
  <si>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</si>
  <si>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</si>
  <si>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</si>
  <si>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</si>
  <si>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</si>
  <si>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</si>
  <si>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</si>
  <si>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</si>
  <si>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</si>
  <si>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</si>
  <si>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</si>
  <si>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</si>
  <si>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</si>
  <si>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</si>
  <si>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</si>
  <si>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</si>
  <si>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</si>
  <si>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</si>
  <si>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</si>
  <si>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</si>
  <si>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</si>
  <si>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</si>
  <si>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</si>
  <si>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</si>
  <si>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</si>
  <si>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</si>
  <si>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</si>
  <si>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</si>
  <si>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</si>
  <si>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</si>
  <si>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</si>
  <si>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</si>
  <si>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</si>
  <si>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</si>
  <si>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</si>
  <si>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</si>
  <si>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</si>
  <si>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</si>
  <si>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</si>
  <si>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</si>
  <si>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</si>
  <si>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</si>
  <si>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</si>
  <si>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</si>
  <si>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</si>
  <si>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</si>
  <si>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</si>
  <si>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</si>
  <si>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</si>
  <si>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</si>
  <si>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</si>
  <si>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</si>
  <si>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</si>
  <si>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</si>
  <si>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</si>
  <si>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</si>
  <si>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</si>
  <si>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</si>
  <si>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</si>
  <si>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</si>
  <si>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</si>
  <si>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</si>
  <si>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</si>
  <si>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</si>
  <si>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</si>
  <si>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</si>
  <si>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</si>
  <si>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</si>
  <si>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</si>
  <si>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</si>
  <si>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</si>
  <si>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</si>
  <si>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</si>
  <si>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</si>
  <si>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</si>
  <si>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</si>
  <si>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</si>
  <si>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</si>
  <si>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</si>
  <si>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</si>
  <si>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</si>
  <si>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</si>
  <si>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</si>
  <si>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</si>
  <si>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</si>
  <si>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</si>
  <si>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</si>
  <si>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</si>
  <si>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</si>
  <si>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</si>
  <si>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</si>
  <si>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</si>
  <si>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</si>
  <si>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</si>
  <si>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</si>
  <si>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</si>
  <si>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</si>
  <si>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</si>
  <si>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</si>
  <si>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</si>
  <si>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</si>
  <si>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</si>
  <si>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</si>
  <si>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</si>
  <si>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</si>
  <si>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</si>
  <si>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</si>
  <si>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</si>
  <si>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</si>
  <si>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</si>
  <si>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</si>
  <si>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</si>
  <si>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</si>
  <si>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</si>
  <si>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</si>
  <si>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</si>
  <si>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</si>
  <si>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</si>
  <si>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</si>
  <si>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</si>
  <si>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</si>
  <si>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</si>
  <si>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</si>
  <si>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</si>
  <si>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</si>
  <si>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</si>
  <si>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</si>
  <si>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</si>
  <si>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</si>
  <si>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</si>
  <si>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</si>
  <si>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</si>
  <si>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</si>
  <si>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</si>
  <si>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</si>
  <si>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</si>
  <si>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</si>
  <si>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</si>
  <si>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</si>
  <si>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</si>
  <si>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</si>
  <si>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</si>
  <si>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</si>
  <si>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</si>
  <si>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</si>
  <si>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</si>
  <si>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</si>
  <si>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</si>
  <si>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</si>
  <si>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</si>
  <si>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</si>
  <si>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</si>
  <si>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</si>
  <si>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</si>
  <si>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</si>
  <si>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</si>
  <si>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</si>
  <si>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</si>
  <si>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</si>
  <si>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</si>
  <si>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</si>
  <si>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</si>
  <si>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</si>
  <si>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</si>
  <si>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</si>
  <si>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</si>
  <si>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</si>
  <si>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</si>
  <si>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</si>
  <si>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</si>
  <si>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</si>
  <si>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</si>
  <si>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</si>
  <si>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</si>
  <si>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</si>
  <si>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</si>
  <si>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</si>
  <si>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</si>
  <si>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</si>
  <si>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</si>
  <si>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</si>
  <si>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</si>
  <si>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</si>
  <si>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</si>
  <si>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</si>
  <si>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</si>
  <si>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</si>
  <si>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</si>
  <si>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</si>
  <si>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</si>
  <si>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</si>
  <si>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</si>
  <si>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</si>
  <si>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</si>
  <si>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</si>
  <si>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</si>
  <si>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</si>
  <si>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</si>
  <si>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</si>
  <si>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</si>
  <si>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</si>
  <si>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</si>
  <si>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</si>
  <si>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</si>
  <si>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</si>
  <si>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</si>
  <si>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</si>
  <si>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</si>
  <si>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</si>
  <si>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</si>
  <si>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</si>
  <si>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</si>
  <si>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</si>
  <si>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</si>
  <si>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</si>
  <si>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</si>
  <si>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</si>
  <si>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</si>
  <si>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</si>
  <si>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</si>
  <si>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</si>
  <si>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</si>
  <si>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</si>
  <si>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</si>
  <si>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</si>
  <si>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</si>
  <si>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</si>
  <si>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</si>
  <si>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</si>
  <si>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</si>
  <si>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</si>
  <si>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</si>
  <si>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</si>
  <si>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</si>
  <si>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</si>
  <si>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</si>
  <si>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</si>
  <si>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</si>
  <si>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</si>
  <si>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</si>
  <si>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</si>
  <si>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</si>
  <si>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</si>
  <si>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</si>
  <si>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</si>
  <si>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</si>
  <si>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</si>
  <si>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</si>
  <si>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</si>
  <si>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</si>
  <si>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</si>
  <si>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</si>
  <si>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</si>
  <si>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</si>
  <si>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</si>
  <si>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</si>
  <si>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</si>
  <si>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</si>
  <si>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</si>
  <si>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</si>
  <si>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</si>
  <si>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</si>
  <si>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</si>
  <si>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</si>
  <si>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</si>
  <si>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</si>
  <si>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</si>
  <si>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</si>
  <si>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</si>
  <si>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</si>
  <si>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</si>
  <si>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</si>
  <si>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</si>
  <si>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</si>
  <si>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</si>
  <si>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</si>
  <si>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</si>
  <si>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</si>
  <si>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</si>
  <si>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</si>
  <si>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</si>
  <si>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</si>
  <si>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</si>
  <si>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</si>
  <si>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</si>
  <si>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</si>
  <si>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</si>
  <si>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</si>
  <si>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</si>
  <si>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</si>
  <si>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</si>
  <si>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</si>
  <si>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</si>
  <si>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</si>
  <si>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</si>
  <si>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</si>
  <si>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</si>
  <si>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</si>
  <si>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</si>
  <si>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</si>
  <si>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</si>
  <si>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</si>
  <si>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</si>
  <si>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</si>
  <si>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</si>
  <si>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</si>
  <si>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</si>
  <si>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</si>
  <si>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</si>
  <si>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</si>
  <si>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</si>
  <si>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</si>
  <si>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</si>
  <si>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</si>
  <si>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</si>
  <si>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</si>
  <si>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</si>
  <si>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</si>
  <si>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</si>
  <si>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</si>
  <si>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</si>
  <si>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</si>
  <si>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</si>
  <si>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</si>
  <si>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</si>
  <si>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</si>
  <si>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</si>
  <si>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</si>
  <si>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</si>
  <si>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</si>
  <si>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</si>
  <si>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</si>
  <si>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</si>
  <si>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</si>
  <si>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</si>
  <si>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</si>
  <si>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</si>
  <si>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</si>
  <si>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</si>
  <si>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</si>
  <si>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</si>
  <si>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</si>
  <si>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</si>
  <si>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</si>
  <si>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</si>
  <si>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</si>
  <si>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</si>
  <si>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</si>
  <si>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</si>
  <si>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</si>
  <si>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</si>
  <si>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</si>
  <si>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</si>
  <si>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</si>
  <si>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</si>
  <si>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</si>
  <si>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</si>
  <si>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</si>
  <si>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</si>
  <si>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</si>
  <si>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</si>
  <si>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</si>
  <si>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</si>
  <si>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</si>
  <si>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</si>
  <si>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</si>
  <si>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</si>
  <si>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</si>
  <si>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</si>
  <si>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</si>
  <si>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</si>
  <si>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</si>
  <si>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</si>
  <si>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</si>
  <si>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</si>
  <si>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</si>
  <si>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</si>
  <si>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</si>
  <si>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</si>
  <si>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</si>
  <si>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</si>
  <si>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</si>
  <si>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</si>
  <si>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</si>
  <si>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</si>
  <si>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</si>
  <si>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</si>
  <si>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</si>
  <si>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</si>
  <si>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</si>
  <si>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</si>
  <si>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</si>
  <si>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</si>
  <si>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</si>
  <si>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</si>
  <si>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</si>
  <si>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</si>
  <si>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</si>
  <si>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</si>
  <si>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</si>
  <si>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</si>
  <si>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</si>
  <si>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</si>
  <si>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</si>
  <si>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</si>
  <si>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</si>
  <si>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</si>
  <si>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</si>
  <si>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</si>
  <si>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</si>
  <si>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</si>
  <si>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</si>
  <si>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</si>
  <si>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</si>
  <si>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</si>
  <si>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</si>
  <si>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</si>
  <si>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</si>
  <si>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</si>
  <si>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</si>
  <si>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</si>
  <si>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</si>
  <si>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</si>
  <si>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</si>
  <si>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</si>
  <si>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</si>
  <si>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</si>
  <si>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</si>
  <si>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</si>
  <si>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</si>
  <si>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</si>
  <si>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</si>
  <si>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</si>
  <si>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</si>
  <si>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</si>
  <si>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</si>
  <si>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</si>
  <si>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</si>
  <si>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</si>
  <si>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</si>
  <si>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</si>
  <si>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</si>
  <si>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</si>
  <si>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</si>
  <si>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</si>
  <si>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</si>
  <si>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</si>
  <si>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</si>
  <si>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</si>
  <si>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</si>
  <si>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</si>
  <si>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</si>
  <si>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</si>
  <si>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</si>
  <si>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</si>
  <si>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</si>
  <si>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</si>
  <si>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</si>
  <si>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</si>
  <si>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</si>
  <si>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</si>
  <si>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</si>
  <si>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</si>
  <si>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</si>
  <si>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</si>
  <si>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</si>
  <si>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</si>
  <si>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</si>
  <si>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</si>
  <si>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</si>
  <si>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</si>
  <si>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</si>
  <si>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</si>
  <si>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</si>
  <si>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</si>
  <si>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</si>
  <si>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</si>
  <si>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</si>
  <si>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</si>
  <si>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</si>
  <si>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</si>
  <si>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</si>
  <si>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</si>
  <si>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</si>
  <si>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</si>
  <si>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</si>
  <si>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</si>
  <si>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</si>
  <si>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</si>
  <si>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</si>
  <si>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</si>
  <si>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</si>
  <si>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</si>
  <si>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</si>
  <si>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</si>
  <si>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</si>
  <si>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</si>
  <si>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</si>
  <si>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</si>
  <si>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</si>
  <si>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</si>
  <si>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</si>
  <si>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</si>
  <si>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</si>
  <si>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</si>
  <si>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</si>
  <si>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</si>
  <si>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</si>
  <si>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</si>
  <si>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</si>
  <si>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</si>
  <si>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</si>
  <si>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</si>
  <si>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</si>
  <si>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</si>
  <si>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</si>
  <si>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</si>
  <si>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</si>
  <si>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</si>
  <si>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</si>
  <si>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</si>
  <si>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</si>
  <si>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</si>
  <si>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</si>
  <si>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</si>
  <si>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</si>
  <si>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</si>
  <si>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</si>
  <si>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</si>
  <si>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</si>
  <si>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</si>
  <si>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</si>
  <si>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</si>
  <si>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</si>
  <si>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</si>
  <si>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</si>
  <si>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</si>
  <si>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</si>
  <si>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</si>
  <si>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</si>
  <si>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</si>
  <si>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</si>
  <si>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</si>
  <si>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</si>
  <si>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</si>
  <si>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</si>
  <si>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</si>
  <si>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</si>
  <si>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</si>
  <si>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</si>
  <si>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</si>
  <si>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</si>
  <si>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</si>
  <si>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</si>
  <si>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</si>
  <si>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</si>
  <si>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</si>
  <si>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</si>
  <si>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</si>
  <si>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</si>
  <si>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</si>
  <si>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</si>
  <si>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</si>
  <si>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</si>
  <si>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</si>
  <si>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</si>
  <si>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</si>
  <si>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</si>
  <si>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</si>
  <si>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</si>
  <si>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</si>
  <si>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</si>
  <si>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</si>
  <si>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</si>
  <si>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</si>
  <si>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</si>
  <si>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</si>
  <si>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</si>
  <si>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</si>
  <si>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</si>
  <si>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</si>
  <si>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</si>
  <si>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</si>
  <si>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</si>
  <si>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</si>
  <si>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</si>
  <si>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</si>
  <si>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</si>
  <si>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</si>
  <si>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</si>
  <si>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</si>
  <si>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</si>
  <si>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</si>
  <si>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</si>
  <si>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</si>
  <si>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</si>
  <si>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</si>
  <si>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</si>
  <si>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</si>
  <si>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</si>
  <si>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</si>
  <si>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</si>
  <si>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</si>
  <si>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</si>
  <si>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</si>
  <si>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</si>
  <si>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</si>
  <si>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</si>
  <si>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</si>
  <si>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</si>
  <si>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</si>
  <si>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</si>
  <si>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</si>
  <si>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</si>
  <si>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</si>
  <si>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</si>
  <si>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</si>
  <si>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</si>
  <si>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</si>
  <si>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</si>
  <si>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</si>
  <si>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</si>
  <si>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</si>
  <si>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</si>
  <si>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</si>
  <si>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</si>
  <si>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</si>
  <si>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</si>
  <si>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</si>
  <si>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</si>
  <si>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</si>
  <si>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</si>
  <si>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</si>
  <si>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</si>
  <si>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</si>
  <si>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</si>
  <si>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</si>
  <si>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</si>
  <si>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</si>
  <si>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</si>
  <si>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</si>
  <si>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</si>
  <si>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</si>
  <si>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</si>
  <si>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</si>
  <si>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</si>
  <si>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</si>
  <si>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</si>
  <si>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</si>
  <si>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</si>
  <si>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</si>
  <si>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</si>
  <si>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</si>
  <si>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</si>
  <si>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</si>
  <si>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</si>
  <si>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</si>
  <si>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</si>
  <si>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</si>
  <si>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</si>
  <si>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</si>
  <si>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</si>
  <si>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</si>
  <si>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</si>
  <si>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</si>
  <si>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</si>
  <si>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</si>
  <si>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</si>
  <si>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</si>
  <si>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</si>
  <si>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</si>
  <si>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</si>
  <si>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</si>
  <si>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</si>
  <si>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</si>
  <si>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</si>
  <si>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</si>
  <si>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</si>
  <si>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</si>
  <si>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</si>
  <si>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</si>
  <si>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</si>
  <si>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</si>
  <si>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</si>
  <si>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</si>
  <si>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</si>
  <si>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</si>
  <si>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</si>
  <si>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</si>
  <si>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</si>
  <si>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</si>
  <si>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</si>
  <si>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</si>
  <si>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</si>
  <si>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</si>
  <si>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</si>
  <si>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</si>
  <si>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</si>
  <si>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</si>
  <si>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</si>
  <si>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</si>
  <si>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</si>
  <si>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</si>
  <si>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</si>
  <si>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</si>
  <si>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</si>
  <si>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</si>
  <si>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</si>
  <si>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</si>
  <si>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</si>
  <si>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</si>
  <si>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</si>
  <si>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</si>
  <si>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</si>
  <si>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</si>
  <si>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</si>
  <si>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</si>
  <si>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</si>
  <si>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</si>
  <si>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</si>
  <si>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</si>
  <si>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</si>
  <si>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</si>
  <si>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</si>
  <si>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</si>
  <si>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</si>
  <si>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</si>
  <si>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</si>
  <si>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</si>
  <si>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</si>
  <si>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</si>
  <si>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</si>
  <si>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</si>
  <si>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</si>
  <si>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</si>
  <si>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</si>
  <si>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</si>
  <si>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</si>
  <si>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</si>
  <si>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</si>
  <si>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</si>
  <si>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</si>
  <si>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</si>
  <si>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</si>
  <si>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</si>
  <si>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</si>
  <si>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</si>
  <si>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</si>
  <si>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</si>
  <si>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</si>
  <si>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</si>
  <si>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</si>
  <si>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</si>
  <si>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</si>
  <si>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</si>
  <si>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</si>
  <si>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</si>
  <si>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</si>
  <si>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</si>
  <si>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</si>
  <si>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</si>
  <si>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</si>
  <si>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</si>
  <si>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</si>
  <si>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</si>
  <si>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</si>
  <si>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</si>
  <si>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</si>
  <si>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</si>
  <si>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</si>
  <si>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</si>
  <si>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</si>
  <si>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</si>
  <si>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</si>
  <si>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</si>
  <si>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</si>
  <si>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</si>
  <si>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</si>
  <si>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</si>
  <si>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</si>
  <si>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</si>
  <si>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</si>
  <si>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</si>
  <si>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</si>
  <si>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</si>
  <si>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</si>
  <si>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</si>
  <si>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</si>
  <si>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</si>
  <si>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</si>
  <si>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</si>
  <si>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</si>
  <si>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</si>
  <si>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</si>
  <si>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</si>
  <si>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</si>
  <si>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</si>
  <si>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</si>
  <si>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</si>
  <si>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</si>
  <si>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</si>
  <si>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</si>
  <si>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</si>
  <si>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</si>
  <si>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</si>
  <si>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</si>
  <si>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</si>
  <si>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</si>
  <si>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</si>
  <si>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</si>
  <si>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</si>
  <si>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</si>
  <si>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</si>
  <si>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</si>
  <si>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</si>
  <si>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</si>
  <si>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</si>
  <si>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</si>
  <si>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</si>
  <si>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</si>
  <si>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</si>
  <si>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</si>
  <si>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</si>
  <si>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</si>
  <si>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</si>
  <si>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</si>
  <si>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</si>
  <si>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</si>
  <si>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</si>
  <si>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</si>
  <si>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</si>
  <si>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</si>
  <si>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</si>
  <si>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</si>
  <si>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</si>
  <si>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</si>
  <si>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</si>
  <si>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</si>
  <si>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</si>
  <si>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</si>
  <si>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</si>
  <si>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</si>
  <si>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</si>
  <si>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</si>
  <si>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</si>
  <si>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</si>
  <si>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</si>
  <si>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</si>
  <si>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</si>
  <si>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</si>
  <si>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</si>
  <si>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</si>
  <si>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</si>
  <si>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</si>
  <si>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</si>
  <si>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</si>
  <si>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</si>
  <si>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</si>
  <si>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</si>
  <si>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</si>
  <si>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</si>
  <si>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</si>
  <si>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</si>
  <si>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</si>
  <si>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</si>
  <si>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</si>
  <si>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</si>
  <si>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</si>
  <si>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</si>
  <si>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</si>
  <si>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</si>
  <si>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</si>
  <si>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</si>
  <si>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</si>
  <si>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</si>
  <si>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</si>
  <si>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</si>
  <si>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</si>
  <si>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</si>
  <si>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</si>
  <si>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</si>
  <si>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</si>
  <si>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</si>
  <si>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</si>
  <si>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</si>
  <si>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</si>
  <si>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</si>
  <si>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</si>
  <si>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</si>
  <si>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</si>
  <si>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</si>
  <si>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</si>
  <si>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</si>
  <si>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</si>
  <si>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</si>
  <si>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</si>
  <si>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</si>
  <si>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</si>
  <si>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</si>
  <si>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</si>
  <si>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</si>
  <si>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</si>
  <si>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</si>
  <si>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</si>
  <si>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</si>
  <si>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</si>
  <si>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</si>
  <si>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</si>
  <si>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</si>
  <si>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</si>
  <si>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</si>
  <si>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</si>
  <si>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</si>
  <si>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</si>
  <si>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</si>
  <si>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</si>
  <si>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</si>
  <si>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</si>
  <si>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</si>
  <si>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</si>
  <si>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</si>
  <si>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</si>
  <si>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</si>
  <si>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</si>
  <si>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</si>
  <si>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</si>
  <si>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</si>
  <si>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</si>
  <si>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</si>
  <si>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</si>
  <si>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</si>
  <si>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</si>
  <si>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</si>
  <si>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</si>
  <si>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</si>
  <si>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</si>
  <si>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</si>
  <si>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</si>
  <si>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</si>
  <si>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</si>
  <si>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</si>
  <si>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</si>
  <si>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</si>
  <si>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</si>
  <si>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</si>
  <si>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</si>
  <si>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</si>
  <si>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</si>
  <si>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</si>
  <si>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</si>
  <si>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</si>
  <si>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</si>
  <si>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</si>
  <si>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</si>
  <si>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</si>
  <si>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</si>
  <si>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</si>
  <si>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</si>
  <si>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</si>
  <si>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</si>
  <si>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</si>
  <si>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</si>
  <si>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</si>
  <si>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</si>
  <si>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</si>
  <si>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</si>
  <si>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</si>
  <si>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</si>
  <si>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</si>
  <si>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</si>
  <si>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</si>
  <si>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</si>
  <si>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</si>
  <si>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</si>
  <si>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</si>
  <si>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</si>
  <si>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</si>
  <si>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</si>
  <si>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</si>
  <si>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</si>
  <si>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</si>
  <si>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</si>
  <si>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</si>
  <si>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</si>
  <si>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</si>
  <si>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</si>
  <si>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</si>
  <si>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</si>
  <si>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</si>
  <si>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</si>
  <si>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</si>
  <si>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</si>
  <si>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</si>
  <si>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</si>
  <si>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</si>
  <si>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</si>
  <si>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</si>
  <si>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</si>
  <si>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</si>
  <si>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</si>
  <si>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</si>
  <si>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</si>
  <si>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</si>
  <si>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</si>
  <si>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</si>
  <si>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</si>
  <si>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</si>
  <si>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</si>
  <si>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</si>
  <si>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</si>
  <si>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</si>
  <si>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</si>
  <si>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</si>
  <si>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</si>
  <si>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</si>
  <si>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</si>
  <si>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</si>
  <si>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</si>
  <si>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</si>
  <si>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</si>
  <si>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</si>
  <si>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</si>
  <si>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</si>
  <si>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</si>
  <si>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</si>
  <si>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</si>
  <si>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</si>
  <si>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</si>
  <si>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</si>
  <si>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</si>
  <si>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</si>
  <si>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</si>
  <si>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</si>
  <si>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</si>
  <si>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</si>
  <si>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</si>
  <si>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</si>
  <si>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</si>
  <si>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</si>
  <si>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</si>
  <si>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</si>
  <si>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</si>
  <si>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</si>
  <si>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</si>
  <si>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</si>
  <si>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</si>
  <si>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</si>
  <si>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</si>
  <si>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</si>
  <si>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</si>
  <si>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</si>
  <si>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</si>
  <si>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</si>
  <si>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</si>
  <si>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</si>
  <si>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</si>
  <si>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</si>
  <si>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</si>
  <si>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</si>
  <si>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</si>
  <si>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</si>
  <si>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</si>
  <si>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</si>
  <si>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</si>
  <si>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</si>
  <si>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</si>
  <si>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</si>
  <si>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</si>
  <si>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</si>
  <si>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</si>
  <si>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</si>
  <si>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</si>
  <si>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</si>
  <si>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</si>
  <si>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</si>
  <si>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</si>
  <si>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</si>
  <si>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</si>
  <si>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</si>
  <si>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</si>
  <si>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</si>
  <si>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</si>
  <si>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</si>
  <si>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</si>
  <si>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</si>
  <si>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</si>
  <si>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</si>
  <si>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</si>
  <si>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</si>
  <si>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</si>
  <si>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</si>
  <si>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</si>
  <si>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</si>
  <si>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</si>
  <si>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</si>
  <si>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</si>
  <si>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</si>
  <si>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</si>
  <si>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</si>
  <si>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</si>
  <si>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</si>
  <si>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</si>
  <si>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</si>
  <si>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</si>
  <si>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</si>
  <si>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</si>
  <si>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</si>
  <si>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</si>
  <si>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</si>
  <si>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</si>
  <si>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</si>
  <si>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</si>
  <si>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</si>
  <si>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</si>
  <si>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</si>
  <si>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</si>
  <si>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</si>
  <si>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</si>
  <si>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</si>
  <si>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</si>
  <si>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</si>
  <si>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</si>
  <si>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</si>
  <si>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</si>
  <si>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</si>
  <si>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</si>
  <si>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</si>
  <si>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</si>
  <si>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</si>
  <si>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</si>
  <si>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</si>
  <si>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</si>
  <si>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</si>
  <si>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</si>
  <si>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</si>
  <si>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</si>
  <si>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</si>
  <si>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</si>
  <si>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</si>
  <si>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</si>
  <si>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</si>
  <si>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</si>
  <si>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</si>
  <si>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</si>
  <si>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</si>
  <si>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</si>
  <si>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</si>
  <si>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</si>
  <si>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</si>
  <si>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</si>
  <si>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</si>
  <si>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</si>
  <si>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</si>
  <si>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</si>
  <si>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</si>
  <si>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</si>
  <si>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</si>
  <si>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</si>
  <si>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</si>
  <si>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</si>
  <si>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</si>
  <si>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</si>
  <si>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</si>
  <si>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</si>
  <si>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</si>
  <si>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</si>
  <si>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</si>
  <si>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</si>
  <si>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</si>
  <si>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</si>
  <si>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</si>
  <si>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</si>
  <si>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</si>
  <si>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</si>
  <si>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</si>
  <si>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</si>
  <si>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</si>
  <si>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</si>
  <si>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</si>
  <si>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</si>
  <si>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</si>
  <si>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</si>
  <si>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</si>
  <si>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</si>
  <si>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</si>
  <si>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</si>
  <si>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</si>
  <si>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</si>
  <si>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</si>
  <si>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</si>
  <si>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</si>
  <si>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</si>
  <si>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</si>
  <si>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</si>
  <si>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</si>
  <si>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</si>
  <si>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</si>
  <si>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</si>
  <si>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</si>
  <si>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</si>
  <si>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</si>
  <si>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</si>
  <si>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</si>
  <si>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</si>
  <si>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</si>
  <si>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</si>
  <si>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</si>
  <si>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</si>
  <si>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</si>
  <si>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</si>
  <si>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</si>
  <si>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</si>
  <si>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</si>
  <si>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</si>
  <si>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</si>
  <si>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</si>
  <si>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</si>
  <si>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</si>
  <si>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</si>
  <si>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</si>
  <si>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</si>
  <si>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</si>
  <si>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</si>
  <si>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</si>
  <si>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</si>
  <si>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</si>
  <si>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</si>
  <si>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</si>
  <si>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</si>
  <si>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</si>
  <si>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</si>
  <si>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</si>
  <si>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</si>
  <si>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</si>
  <si>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</si>
  <si>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</si>
  <si>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</si>
  <si>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</si>
  <si>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</si>
  <si>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</si>
  <si>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</si>
  <si>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</si>
  <si>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</si>
  <si>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</si>
  <si>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</si>
  <si>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</si>
  <si>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</si>
  <si>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</si>
  <si>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</si>
  <si>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</si>
  <si>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</si>
  <si>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</si>
  <si>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</si>
  <si>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</si>
  <si>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</si>
  <si>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</si>
  <si>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</si>
  <si>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</si>
  <si>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</si>
  <si>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</si>
  <si>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</si>
  <si>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</si>
  <si>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</si>
  <si>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</si>
  <si>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</si>
  <si>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</si>
  <si>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</si>
  <si>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</si>
  <si>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</si>
  <si>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</si>
  <si>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</si>
  <si>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</si>
  <si>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</si>
  <si>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</si>
  <si>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</si>
  <si>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</si>
  <si>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</si>
  <si>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</si>
  <si>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</si>
  <si>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</si>
  <si>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</si>
  <si>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</si>
  <si>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</si>
  <si>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</si>
  <si>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</si>
  <si>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</si>
  <si>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</si>
  <si>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</si>
  <si>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</si>
  <si>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</si>
  <si>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</si>
  <si>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</si>
  <si>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</si>
  <si>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</si>
  <si>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</si>
  <si>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</si>
  <si>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</si>
  <si>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</si>
  <si>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</si>
  <si>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</si>
  <si>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</si>
  <si>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</si>
  <si>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</si>
  <si>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</si>
  <si>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</si>
  <si>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</si>
  <si>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</si>
  <si>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</si>
  <si>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</si>
  <si>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</si>
  <si>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</si>
  <si>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</si>
  <si>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</si>
  <si>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</si>
  <si>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</si>
  <si>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</si>
  <si>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</si>
  <si>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</si>
  <si>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</si>
  <si>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</si>
  <si>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</si>
  <si>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</si>
  <si>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</si>
  <si>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</si>
  <si>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</si>
  <si>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</si>
  <si>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</si>
  <si>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</si>
  <si>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</si>
  <si>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</si>
  <si>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</si>
  <si>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</si>
  <si>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</si>
  <si>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</si>
  <si>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</si>
  <si>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</si>
  <si>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</si>
  <si>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</si>
  <si>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</si>
  <si>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</si>
  <si>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</si>
  <si>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</si>
  <si>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</si>
  <si>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</si>
  <si>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</si>
  <si>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</si>
  <si>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</si>
  <si>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</si>
  <si>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</si>
  <si>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</si>
  <si>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</si>
  <si>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</si>
  <si>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</si>
  <si>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</si>
  <si>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</si>
  <si>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</si>
  <si>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</si>
  <si>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</si>
  <si>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</si>
  <si>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</si>
  <si>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</si>
  <si>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</si>
  <si>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</si>
  <si>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</si>
  <si>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</si>
  <si>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</si>
  <si>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</si>
  <si>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</si>
  <si>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</si>
  <si>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</si>
  <si>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</si>
  <si>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</si>
  <si>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</si>
  <si>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</si>
  <si>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</si>
  <si>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</si>
  <si>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</si>
  <si>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</si>
  <si>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</si>
  <si>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</si>
  <si>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</si>
  <si>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</si>
  <si>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</si>
  <si>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</si>
  <si>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</si>
  <si>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</si>
  <si>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</si>
  <si>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</si>
  <si>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</si>
  <si>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</si>
  <si>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</si>
  <si>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</si>
  <si>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</si>
  <si>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</si>
  <si>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</si>
  <si>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</si>
  <si>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</si>
  <si>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</si>
  <si>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</si>
  <si>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</si>
  <si>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</si>
  <si>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</si>
  <si>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</si>
  <si>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</si>
  <si>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</si>
  <si>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</si>
  <si>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</si>
  <si>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</si>
  <si>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</si>
  <si>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</si>
  <si>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</si>
  <si>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</si>
  <si>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</si>
  <si>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</si>
  <si>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</si>
  <si>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</si>
  <si>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</si>
  <si>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</si>
  <si>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</si>
  <si>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</si>
  <si>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</si>
  <si>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</si>
  <si>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</si>
  <si>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</si>
  <si>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</si>
  <si>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</si>
  <si>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</si>
  <si>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</si>
  <si>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</si>
  <si>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</si>
  <si>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</si>
  <si>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</si>
  <si>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</si>
  <si>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</si>
  <si>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</si>
  <si>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</si>
  <si>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</si>
  <si>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</si>
  <si>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</si>
  <si>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</si>
  <si>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</si>
  <si>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</si>
  <si>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</si>
  <si>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</si>
  <si>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</si>
  <si>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</si>
  <si>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</si>
  <si>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</si>
  <si>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</si>
  <si>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</si>
  <si>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</si>
  <si>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</si>
  <si>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</si>
  <si>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</si>
  <si>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</si>
  <si>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</si>
  <si>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</si>
  <si>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</si>
  <si>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</si>
  <si>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</si>
  <si>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</si>
  <si>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</si>
  <si>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</si>
  <si>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</si>
  <si>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</si>
  <si>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</si>
  <si>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</si>
  <si>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</si>
  <si>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</si>
  <si>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</si>
  <si>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</si>
  <si>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</si>
  <si>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</si>
  <si>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</si>
  <si>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</si>
  <si>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</si>
  <si>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</si>
  <si>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</si>
  <si>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</si>
  <si>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</si>
  <si>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</si>
  <si>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</si>
  <si>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</si>
  <si>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</si>
  <si>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</si>
  <si>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</si>
  <si>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</si>
  <si>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</si>
  <si>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</si>
  <si>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</si>
  <si>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</si>
  <si>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</si>
  <si>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</si>
  <si>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</si>
  <si>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</si>
  <si>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</si>
  <si>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</si>
  <si>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</si>
  <si>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</si>
  <si>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</si>
  <si>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</si>
  <si>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</si>
  <si>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</si>
  <si>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</si>
  <si>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</si>
  <si>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</si>
  <si>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</si>
  <si>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</si>
  <si>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</si>
  <si>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</si>
  <si>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</si>
  <si>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</si>
  <si>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</si>
  <si>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</si>
  <si>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</si>
  <si>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</si>
  <si>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</si>
  <si>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</si>
  <si>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</si>
  <si>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</si>
  <si>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</si>
  <si>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</si>
  <si>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</si>
  <si>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</si>
  <si>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</si>
  <si>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</si>
  <si>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</si>
  <si>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</si>
  <si>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</si>
  <si>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</si>
  <si>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</si>
  <si>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</si>
  <si>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</si>
  <si>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</si>
  <si>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</si>
  <si>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</si>
  <si>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</si>
  <si>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</si>
  <si>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</si>
  <si>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</si>
  <si>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</si>
  <si>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</si>
  <si>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</si>
  <si>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</si>
  <si>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</si>
  <si>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</si>
  <si>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</si>
  <si>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</si>
  <si>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</si>
  <si>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</si>
  <si>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</si>
  <si>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</si>
  <si>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</si>
  <si>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</si>
  <si>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</si>
  <si>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</si>
  <si>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</si>
  <si>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</si>
  <si>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</si>
  <si>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</si>
  <si>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</si>
  <si>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</si>
  <si>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</si>
  <si>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</si>
  <si>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</si>
  <si>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</si>
  <si>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</si>
  <si>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</si>
  <si>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</si>
  <si>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</si>
  <si>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</si>
  <si>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</si>
  <si>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</si>
  <si>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</si>
  <si>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</si>
  <si>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</si>
  <si>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</si>
  <si>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</si>
  <si>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</si>
  <si>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</si>
  <si>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</si>
  <si>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</si>
  <si>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</si>
  <si>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</si>
  <si>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</si>
  <si>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</si>
  <si>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</si>
  <si>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</si>
  <si>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</si>
  <si>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</si>
  <si>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</si>
  <si>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</si>
  <si>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</si>
  <si>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</si>
  <si>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</si>
  <si>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</si>
  <si>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</si>
  <si>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</si>
  <si>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</si>
  <si>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</si>
  <si>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</si>
  <si>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</si>
  <si>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</si>
  <si>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</si>
  <si>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</si>
  <si>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</si>
  <si>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</si>
  <si>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</si>
  <si>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</si>
  <si>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</si>
  <si>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</si>
  <si>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</si>
  <si>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</si>
  <si>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</si>
  <si>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</si>
  <si>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</si>
  <si>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</si>
  <si>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</si>
  <si>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</si>
  <si>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</si>
  <si>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</si>
  <si>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</si>
  <si>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</si>
  <si>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</si>
  <si>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</si>
  <si>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</si>
  <si>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</si>
  <si>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</si>
  <si>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</si>
  <si>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</si>
  <si>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</si>
  <si>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</si>
  <si>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</si>
  <si>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</si>
  <si>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</si>
  <si>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</si>
  <si>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</si>
  <si>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</si>
  <si>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</si>
  <si>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</si>
  <si>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</si>
  <si>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</si>
  <si>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</si>
  <si>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</si>
  <si>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</si>
  <si>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</si>
  <si>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</si>
  <si>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</si>
  <si>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</si>
  <si>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</si>
  <si>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</si>
  <si>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</si>
  <si>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</si>
  <si>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</si>
  <si>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</si>
  <si>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</si>
  <si>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</si>
  <si>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</si>
  <si>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</si>
  <si>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</si>
  <si>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</si>
  <si>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</si>
  <si>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</si>
  <si>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</si>
  <si>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</si>
  <si>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</si>
  <si>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</si>
  <si>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</si>
  <si>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</si>
  <si>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</si>
  <si>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</si>
  <si>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</si>
  <si>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</si>
  <si>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</si>
  <si>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</si>
  <si>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</si>
  <si>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</si>
  <si>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</si>
  <si>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</si>
  <si>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</si>
  <si>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</si>
  <si>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</si>
  <si>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</si>
  <si>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</si>
  <si>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</si>
  <si>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</si>
  <si>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</si>
  <si>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</si>
  <si>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</si>
  <si>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</si>
  <si>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</si>
  <si>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</si>
  <si>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</si>
  <si>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</si>
  <si>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</si>
  <si>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</si>
  <si>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</si>
  <si>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</si>
  <si>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</si>
  <si>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</si>
  <si>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</si>
  <si>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</si>
  <si>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</si>
  <si>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</si>
  <si>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</si>
  <si>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</si>
  <si>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</si>
  <si>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</si>
  <si>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</si>
  <si>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</si>
  <si>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</si>
  <si>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</si>
  <si>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</si>
  <si>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</si>
  <si>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</si>
  <si>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</si>
  <si>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</si>
  <si>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</si>
  <si>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</si>
  <si>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</si>
  <si>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</si>
  <si>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</si>
  <si>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</si>
  <si>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</si>
  <si>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</si>
  <si>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</si>
  <si>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</si>
  <si>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</si>
  <si>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</si>
  <si>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</si>
  <si>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</si>
  <si>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</si>
  <si>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</si>
  <si>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</si>
  <si>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</si>
  <si>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</si>
  <si>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</si>
  <si>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</si>
  <si>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</si>
  <si>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</si>
  <si>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</si>
  <si>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</si>
  <si>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</si>
  <si>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</si>
  <si>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</si>
  <si>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</si>
  <si>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</si>
  <si>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</si>
  <si>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</si>
  <si>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</si>
  <si>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</si>
  <si>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</si>
  <si>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</si>
  <si>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</si>
  <si>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</si>
  <si>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</si>
  <si>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</si>
  <si>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</si>
  <si>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</si>
  <si>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</si>
  <si>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</si>
  <si>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</si>
  <si>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</si>
  <si>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</si>
  <si>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</si>
  <si>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</si>
  <si>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</si>
  <si>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</si>
  <si>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</si>
  <si>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</si>
  <si>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</si>
  <si>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</si>
  <si>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</si>
  <si>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</si>
  <si>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</si>
  <si>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</si>
  <si>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</si>
  <si>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</si>
  <si>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</si>
  <si>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</si>
  <si>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</si>
  <si>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</si>
  <si>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</si>
  <si>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</si>
  <si>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</si>
  <si>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</si>
  <si>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</si>
  <si>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</si>
  <si>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</si>
  <si>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</si>
  <si>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</si>
  <si>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</si>
  <si>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</si>
  <si>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</si>
  <si>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</si>
  <si>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</si>
  <si>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</si>
  <si>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</si>
  <si>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</si>
  <si>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</si>
  <si>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</si>
  <si>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</si>
  <si>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</si>
  <si>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</si>
  <si>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</si>
  <si>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</si>
  <si>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</si>
  <si>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</si>
  <si>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</si>
  <si>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</si>
  <si>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</si>
  <si>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</si>
  <si>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</si>
  <si>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</si>
  <si>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</si>
  <si>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</si>
  <si>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</si>
  <si>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</si>
  <si>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</si>
  <si>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</si>
  <si>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</si>
  <si>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</si>
  <si>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</si>
  <si>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</si>
  <si>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</si>
  <si>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</si>
  <si>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</si>
  <si>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</si>
  <si>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</si>
  <si>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</si>
  <si>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</si>
  <si>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</si>
  <si>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</si>
  <si>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</si>
  <si>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</si>
  <si>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</si>
  <si>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</si>
  <si>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</si>
  <si>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</si>
  <si>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</si>
  <si>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</si>
  <si>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</si>
  <si>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</si>
  <si>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</si>
  <si>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</si>
  <si>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</si>
  <si>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</si>
  <si>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</si>
  <si>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</si>
  <si>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</si>
  <si>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</si>
  <si>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</si>
  <si>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</si>
  <si>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</si>
  <si>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</si>
  <si>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</si>
  <si>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</si>
  <si>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</si>
  <si>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</si>
  <si>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</si>
  <si>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</si>
  <si>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</si>
  <si>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</si>
  <si>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</si>
  <si>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</si>
  <si>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</si>
  <si>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</si>
  <si>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</si>
  <si>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</si>
  <si>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</si>
  <si>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</si>
  <si>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</si>
  <si>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</si>
  <si>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</si>
  <si>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</si>
  <si>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</si>
  <si>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</si>
  <si>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</si>
  <si>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</si>
  <si>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</si>
  <si>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</si>
  <si>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</si>
  <si>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</si>
  <si>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</si>
  <si>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</si>
  <si>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</si>
  <si>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</si>
  <si>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</si>
  <si>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</si>
  <si>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</si>
  <si>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</si>
  <si>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</si>
  <si>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</si>
  <si>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</si>
  <si>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</si>
  <si>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</si>
  <si>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</si>
  <si>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</si>
  <si>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</si>
  <si>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</si>
  <si>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</si>
  <si>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</si>
  <si>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</si>
  <si>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</si>
  <si>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</si>
  <si>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</si>
  <si>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</si>
  <si>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</si>
  <si>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</si>
  <si>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</si>
  <si>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</si>
  <si>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</si>
  <si>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</si>
  <si>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</si>
  <si>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</si>
  <si>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</si>
  <si>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</si>
  <si>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</si>
  <si>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</si>
  <si>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</si>
  <si>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</si>
  <si>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</si>
  <si>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</si>
  <si>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</si>
  <si>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</si>
  <si>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</si>
  <si>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</si>
  <si>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</si>
  <si>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</si>
  <si>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</si>
  <si>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</si>
  <si>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</si>
  <si>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</si>
  <si>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</si>
  <si>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</si>
  <si>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</si>
  <si>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</si>
  <si>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</si>
  <si>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</si>
  <si>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</si>
  <si>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</si>
  <si>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</si>
  <si>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</si>
  <si>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</si>
  <si>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</si>
  <si>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</si>
  <si>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</si>
  <si>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</si>
  <si>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</si>
  <si>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</si>
  <si>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</si>
  <si>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</si>
  <si>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</si>
  <si>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</si>
  <si>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</si>
  <si>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</si>
  <si>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</si>
  <si>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</si>
  <si>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</si>
  <si>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</si>
  <si>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</si>
  <si>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</si>
  <si>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</si>
  <si>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</si>
  <si>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</si>
  <si>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</si>
  <si>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</si>
  <si>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</si>
  <si>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</si>
  <si>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</si>
  <si>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</si>
  <si>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</si>
  <si>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</si>
  <si>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</si>
  <si>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</si>
  <si>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</si>
  <si>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</si>
  <si>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</si>
  <si>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</si>
  <si>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</si>
  <si>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</si>
  <si>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</si>
  <si>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</si>
  <si>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</si>
  <si>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</si>
  <si>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</si>
  <si>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</si>
  <si>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</si>
  <si>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</si>
  <si>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</si>
  <si>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</si>
  <si>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</si>
  <si>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</si>
  <si>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</si>
  <si>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</si>
  <si>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</si>
  <si>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</si>
  <si>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</si>
  <si>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</si>
  <si>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</si>
  <si>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</si>
  <si>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</si>
  <si>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</si>
  <si>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</si>
  <si>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</si>
  <si>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</si>
  <si>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</si>
  <si>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</si>
  <si>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</si>
  <si>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</si>
  <si>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</si>
  <si>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</si>
  <si>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</si>
  <si>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</si>
  <si>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</si>
  <si>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</si>
  <si>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</si>
  <si>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</si>
  <si>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</si>
  <si>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</si>
  <si>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</si>
  <si>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</si>
  <si>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</si>
  <si>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</si>
  <si>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</si>
  <si>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</si>
  <si>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</si>
  <si>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</si>
  <si>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</si>
  <si>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</si>
  <si>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</si>
  <si>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</si>
  <si>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</si>
  <si>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</si>
  <si>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</si>
  <si>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</si>
  <si>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</si>
  <si>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</si>
  <si>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</si>
  <si>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</si>
  <si>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</si>
  <si>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</si>
  <si>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</si>
  <si>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</si>
  <si>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</si>
  <si>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</si>
  <si>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</si>
  <si>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</si>
  <si>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</si>
  <si>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</si>
  <si>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</si>
  <si>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</si>
  <si>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</si>
  <si>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</si>
  <si>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</si>
  <si>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</si>
  <si>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</si>
  <si>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</si>
  <si>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</si>
  <si>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</si>
  <si>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</si>
  <si>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</si>
  <si>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</si>
  <si>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</si>
  <si>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</si>
  <si>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</si>
  <si>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</si>
  <si>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</si>
  <si>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</si>
  <si>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</si>
  <si>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</si>
  <si>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</si>
  <si>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</si>
  <si>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</si>
  <si>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</si>
  <si>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</si>
  <si>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</si>
  <si>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</si>
  <si>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</si>
  <si>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</si>
  <si>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</si>
  <si>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</si>
  <si>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</si>
  <si>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</si>
  <si>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</si>
  <si>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</si>
  <si>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</si>
  <si>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</si>
  <si>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</si>
  <si>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</si>
  <si>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</si>
  <si>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</si>
  <si>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</si>
  <si>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</si>
  <si>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</si>
  <si>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</si>
  <si>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</si>
  <si>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</si>
  <si>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</si>
  <si>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</si>
  <si>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</si>
  <si>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</si>
  <si>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</si>
  <si>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</si>
  <si>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</si>
  <si>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</si>
  <si>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</si>
  <si>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</si>
  <si>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</si>
  <si>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</si>
  <si>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</si>
  <si>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</si>
  <si>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</si>
  <si>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</si>
  <si>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</si>
  <si>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</si>
  <si>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</si>
  <si>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</si>
  <si>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</si>
  <si>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</si>
  <si>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</si>
  <si>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</si>
  <si>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</si>
  <si>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</si>
  <si>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</si>
  <si>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</si>
  <si>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</si>
  <si>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</si>
  <si>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</si>
  <si>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</si>
  <si>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</si>
  <si>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</si>
  <si>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</si>
  <si>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</si>
  <si>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</si>
  <si>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</si>
  <si>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</si>
  <si>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</si>
  <si>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</si>
  <si>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</si>
  <si>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</si>
  <si>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</si>
  <si>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</si>
  <si>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</si>
  <si>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</si>
  <si>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</si>
  <si>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</si>
  <si>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</si>
  <si>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</si>
  <si>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</si>
  <si>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</si>
  <si>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</si>
  <si>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</si>
  <si>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</si>
  <si>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</si>
  <si>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</si>
  <si>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</si>
  <si>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</si>
  <si>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</si>
  <si>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</si>
  <si>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</si>
  <si>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</si>
  <si>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</si>
  <si>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</si>
  <si>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</si>
  <si>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</si>
  <si>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</si>
  <si>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</si>
  <si>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</si>
  <si>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</si>
  <si>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</si>
  <si>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</si>
  <si>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</si>
  <si>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</si>
  <si>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</si>
  <si>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</si>
  <si>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</si>
  <si>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</si>
  <si>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</si>
  <si>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</si>
  <si>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</si>
  <si>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</si>
  <si>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</si>
  <si>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</si>
  <si>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</si>
  <si>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</si>
  <si>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</si>
  <si>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</si>
  <si>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</si>
  <si>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</si>
  <si>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</si>
  <si>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</si>
  <si>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</si>
  <si>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</si>
  <si>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</si>
  <si>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</si>
  <si>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</si>
  <si>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</si>
  <si>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</si>
  <si>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</si>
  <si>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</si>
  <si>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</si>
  <si>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</si>
  <si>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</si>
  <si>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</si>
  <si>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</si>
  <si>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</si>
  <si>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</si>
  <si>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</si>
  <si>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</si>
  <si>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</si>
  <si>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</si>
  <si>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</si>
  <si>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</si>
  <si>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</si>
  <si>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</si>
  <si>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</si>
  <si>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</si>
  <si>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</si>
  <si>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</si>
  <si>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</si>
  <si>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</si>
  <si>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</si>
  <si>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</si>
  <si>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</si>
  <si>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</si>
  <si>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</si>
  <si>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</si>
  <si>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</si>
  <si>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</si>
  <si>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</si>
  <si>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</si>
  <si>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</si>
  <si>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</si>
  <si>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</si>
  <si>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</si>
  <si>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</si>
  <si>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</si>
  <si>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</si>
  <si>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</si>
  <si>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</si>
  <si>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</si>
  <si>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</si>
  <si>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</si>
  <si>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</si>
  <si>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</si>
  <si>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</si>
  <si>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</si>
  <si>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</si>
  <si>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</si>
  <si>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</si>
  <si>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</si>
  <si>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</si>
  <si>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</si>
  <si>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</si>
  <si>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</si>
  <si>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</si>
  <si>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</si>
  <si>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</si>
  <si>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</si>
  <si>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</si>
  <si>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</si>
  <si>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</si>
  <si>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</si>
  <si>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</si>
  <si>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</si>
  <si>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</si>
  <si>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</si>
  <si>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</si>
  <si>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</si>
  <si>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</si>
  <si>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</si>
  <si>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</si>
  <si>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</si>
  <si>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</si>
  <si>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</si>
  <si>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</si>
  <si>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</si>
  <si>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</si>
  <si>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</si>
  <si>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</si>
  <si>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</si>
  <si>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</si>
  <si>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</si>
  <si>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</si>
  <si>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</si>
  <si>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</si>
  <si>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</si>
  <si>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</si>
  <si>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</si>
  <si>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</si>
  <si>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</si>
  <si>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</si>
  <si>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</si>
  <si>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</si>
  <si>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</si>
  <si>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</si>
  <si>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</si>
  <si>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</si>
  <si>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</si>
  <si>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</si>
  <si>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</si>
  <si>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</si>
  <si>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</si>
  <si>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</si>
  <si>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</si>
  <si>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</si>
  <si>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</si>
  <si>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</si>
  <si>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</si>
  <si>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</si>
  <si>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</si>
  <si>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</si>
  <si>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</si>
  <si>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</si>
  <si>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</si>
  <si>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</si>
  <si>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</si>
  <si>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</si>
  <si>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</si>
  <si>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</si>
  <si>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</si>
  <si>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</si>
  <si>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</si>
  <si>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</si>
  <si>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</si>
  <si>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</si>
  <si>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</si>
  <si>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</si>
  <si>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</si>
  <si>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</si>
  <si>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</si>
  <si>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</si>
  <si>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</si>
  <si>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</si>
  <si>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</si>
  <si>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</si>
  <si>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</si>
  <si>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</si>
  <si>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</si>
  <si>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</si>
  <si>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</si>
  <si>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</si>
  <si>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</si>
  <si>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</si>
  <si>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</si>
  <si>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</si>
  <si>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</si>
  <si>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</si>
  <si>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</si>
  <si>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</si>
  <si>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</si>
  <si>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</si>
  <si>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</si>
  <si>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</si>
  <si>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</si>
  <si>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</si>
  <si>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</si>
  <si>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</si>
  <si>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</si>
  <si>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</si>
  <si>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</si>
  <si>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</si>
  <si>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</si>
  <si>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</si>
  <si>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</si>
  <si>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</si>
  <si>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</si>
  <si>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</si>
  <si>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</si>
  <si>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</si>
  <si>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</si>
  <si>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</si>
  <si>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</si>
  <si>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</si>
  <si>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</si>
  <si>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</si>
  <si>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</si>
  <si>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</si>
  <si>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</si>
  <si>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</si>
  <si>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</si>
  <si>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</si>
  <si>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</si>
  <si>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</si>
  <si>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</si>
  <si>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</si>
  <si>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</si>
  <si>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</si>
  <si>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</si>
  <si>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</si>
  <si>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</si>
  <si>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</si>
  <si>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</si>
  <si>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</si>
  <si>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</si>
  <si>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</si>
  <si>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</si>
  <si>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</si>
  <si>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</si>
  <si>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</si>
  <si>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</si>
  <si>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</si>
  <si>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</si>
  <si>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</si>
  <si>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</si>
  <si>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</si>
  <si>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</si>
  <si>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</si>
  <si>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</si>
  <si>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</si>
  <si>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</si>
  <si>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</si>
  <si>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</si>
  <si>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</si>
  <si>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</si>
  <si>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</si>
  <si>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</si>
  <si>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</si>
  <si>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</si>
  <si>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</si>
  <si>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</si>
  <si>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</si>
  <si>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</si>
  <si>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</si>
  <si>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</si>
  <si>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</si>
  <si>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</si>
  <si>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</si>
  <si>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</si>
  <si>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</si>
  <si>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</si>
  <si>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</si>
  <si>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</si>
  <si>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</si>
  <si>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</si>
  <si>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</si>
  <si>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</si>
  <si>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</si>
  <si>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</si>
  <si>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</si>
  <si>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</si>
  <si>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</si>
  <si>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</si>
  <si>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</si>
  <si>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</si>
  <si>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</si>
  <si>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</si>
  <si>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</si>
  <si>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</si>
  <si>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</si>
  <si>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</si>
  <si>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</si>
  <si>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</si>
  <si>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</si>
  <si>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</si>
  <si>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</si>
  <si>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</si>
  <si>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</si>
  <si>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</si>
  <si>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</si>
  <si>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</si>
  <si>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</si>
  <si>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</si>
  <si>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</si>
  <si>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</si>
  <si>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</si>
  <si>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</si>
  <si>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</si>
  <si>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</si>
  <si>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</si>
  <si>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</si>
  <si>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</si>
  <si>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</si>
  <si>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</si>
  <si>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</si>
  <si>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</si>
  <si>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</si>
  <si>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</si>
  <si>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</si>
  <si>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</si>
  <si>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</si>
  <si>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</si>
  <si>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</si>
  <si>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</si>
  <si>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</si>
  <si>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</si>
  <si>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</si>
  <si>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</si>
  <si>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</si>
  <si>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</si>
  <si>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</si>
  <si>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</si>
  <si>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</si>
  <si>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</si>
  <si>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</si>
  <si>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</si>
  <si>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</si>
  <si>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</si>
  <si>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</si>
  <si>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</si>
  <si>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</si>
  <si>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</si>
  <si>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</si>
  <si>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</si>
  <si>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</si>
  <si>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</si>
  <si>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</si>
  <si>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</si>
  <si>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</si>
  <si>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</si>
  <si>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</si>
  <si>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</si>
  <si>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</si>
  <si>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</si>
  <si>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</si>
  <si>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</si>
  <si>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</si>
  <si>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</si>
  <si>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</si>
  <si>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</si>
  <si>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</si>
  <si>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</si>
  <si>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</si>
  <si>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</si>
  <si>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</si>
  <si>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</si>
  <si>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</si>
  <si>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</si>
  <si>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</si>
  <si>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</si>
  <si>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</si>
  <si>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</si>
  <si>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</si>
  <si>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</si>
  <si>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</si>
  <si>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</si>
  <si>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</si>
  <si>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</si>
  <si>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</si>
  <si>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</si>
  <si>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</si>
  <si>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</si>
  <si>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</si>
  <si>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</si>
  <si>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</si>
  <si>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</si>
  <si>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</si>
  <si>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</si>
  <si>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</si>
  <si>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</si>
  <si>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</si>
  <si>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</si>
  <si>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</si>
  <si>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</si>
  <si>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</si>
  <si>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</si>
  <si>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</si>
  <si>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</si>
  <si>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</si>
  <si>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</si>
  <si>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</si>
  <si>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</si>
  <si>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</si>
  <si>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</si>
  <si>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</si>
  <si>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</si>
  <si>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</si>
  <si>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</si>
  <si>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</si>
  <si>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</si>
  <si>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</si>
  <si>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</si>
  <si>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</si>
  <si>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</si>
  <si>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</si>
  <si>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</si>
  <si>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</si>
  <si>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</si>
  <si>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</si>
  <si>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</si>
  <si>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</si>
  <si>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</si>
  <si>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</si>
  <si>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</si>
  <si>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</si>
  <si>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</si>
  <si>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</si>
  <si>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</si>
  <si>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</si>
  <si>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</si>
  <si>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</si>
  <si>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</si>
  <si>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</si>
  <si>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</si>
  <si>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</si>
  <si>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</si>
  <si>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</si>
  <si>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</si>
  <si>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</si>
  <si>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</si>
  <si>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</si>
  <si>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</si>
  <si>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</si>
  <si>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</si>
  <si>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</si>
  <si>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</si>
  <si>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</si>
  <si>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</si>
  <si>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</si>
  <si>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</si>
  <si>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</si>
  <si>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</si>
  <si>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</si>
  <si>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</si>
  <si>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</si>
  <si>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</si>
  <si>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</si>
  <si>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</si>
  <si>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</si>
  <si>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</si>
  <si>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</si>
  <si>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</si>
  <si>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</si>
  <si>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</si>
  <si>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</si>
  <si>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</si>
  <si>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</si>
  <si>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</si>
  <si>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</si>
  <si>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</si>
  <si>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</si>
  <si>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</si>
  <si>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</si>
  <si>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</si>
  <si>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</si>
  <si>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</si>
  <si>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</si>
  <si>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</si>
  <si>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</si>
  <si>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</si>
  <si>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</si>
  <si>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</si>
  <si>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</si>
  <si>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</si>
  <si>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</si>
  <si>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</si>
  <si>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</si>
  <si>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</si>
  <si>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</si>
  <si>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</si>
  <si>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</si>
  <si>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</si>
  <si>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</si>
  <si>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</si>
  <si>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</si>
  <si>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</si>
  <si>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</si>
  <si>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</si>
  <si>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</si>
  <si>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</si>
  <si>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</si>
  <si>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</si>
  <si>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</si>
  <si>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</si>
  <si>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</si>
  <si>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</si>
  <si>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</si>
  <si>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</si>
  <si>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</si>
  <si>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</si>
  <si>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</si>
  <si>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</si>
  <si>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</si>
  <si>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</si>
  <si>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</si>
  <si>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</si>
  <si>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</si>
  <si>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</si>
  <si>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</si>
  <si>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</si>
  <si>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</si>
  <si>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</si>
  <si>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</si>
  <si>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</si>
  <si>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</si>
  <si>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</si>
  <si>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</si>
  <si>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</si>
  <si>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</si>
  <si>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</si>
  <si>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</si>
  <si>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</si>
  <si>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</si>
  <si>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</si>
  <si>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</si>
  <si>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</si>
  <si>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</si>
  <si>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</si>
  <si>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</si>
  <si>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</si>
  <si>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</si>
  <si>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</si>
  <si>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</si>
  <si>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</si>
  <si>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</si>
  <si>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</si>
  <si>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</si>
  <si>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</si>
  <si>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</si>
  <si>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</si>
  <si>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</si>
  <si>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</si>
  <si>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</si>
  <si>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</si>
  <si>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</si>
  <si>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</si>
  <si>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</si>
  <si>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</si>
  <si>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</si>
  <si>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</si>
  <si>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</si>
  <si>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</si>
  <si>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</si>
  <si>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</si>
  <si>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</si>
  <si>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</si>
  <si>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</si>
  <si>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</si>
  <si>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</si>
  <si>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</si>
  <si>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</si>
  <si>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</si>
  <si>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</si>
  <si>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</si>
  <si>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</si>
  <si>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</si>
  <si>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</si>
  <si>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</si>
  <si>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</si>
  <si>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</si>
  <si>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</si>
  <si>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</si>
  <si>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</si>
  <si>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</si>
  <si>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</si>
  <si>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</si>
  <si>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</si>
  <si>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</si>
  <si>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</si>
  <si>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</si>
  <si>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</si>
  <si>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</si>
  <si>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</si>
  <si>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</si>
  <si>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</si>
  <si>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</si>
  <si>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</si>
  <si>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</si>
  <si>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</si>
  <si>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</si>
  <si>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</si>
  <si>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</si>
  <si>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</si>
  <si>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</si>
  <si>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</si>
  <si>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</si>
  <si>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</si>
  <si>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</si>
  <si>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</si>
  <si>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</si>
  <si>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</si>
  <si>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</si>
  <si>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</si>
  <si>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</si>
  <si>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</si>
  <si>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</si>
  <si>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</si>
  <si>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</si>
  <si>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</si>
  <si>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</si>
  <si>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</si>
  <si>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</si>
  <si>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</si>
  <si>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</si>
  <si>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</si>
  <si>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</si>
  <si>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</si>
  <si>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</si>
  <si>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</si>
  <si>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</si>
  <si>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</si>
  <si>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</si>
  <si>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</si>
  <si>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</si>
  <si>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</si>
  <si>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</si>
  <si>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</si>
  <si>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</si>
  <si>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</si>
  <si>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</si>
  <si>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</si>
  <si>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</si>
  <si>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</si>
  <si>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</si>
  <si>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</si>
  <si>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</si>
  <si>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</si>
  <si>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</si>
  <si>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</si>
  <si>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</si>
  <si>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</si>
  <si>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</si>
  <si>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</si>
  <si>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</si>
  <si>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</si>
  <si>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</si>
  <si>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</si>
  <si>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</si>
  <si>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</si>
  <si>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</si>
  <si>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</si>
  <si>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</si>
  <si>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</si>
  <si>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</si>
  <si>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</si>
  <si>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</si>
  <si>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</si>
  <si>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</si>
  <si>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</si>
  <si>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</si>
  <si>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</si>
  <si>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</si>
  <si>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</si>
  <si>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</si>
  <si>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</si>
  <si>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</si>
  <si>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</si>
  <si>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</si>
  <si>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</si>
  <si>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</si>
  <si>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</si>
  <si>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</si>
  <si>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</si>
  <si>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</si>
  <si>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</si>
  <si>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</si>
  <si>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</si>
  <si>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</si>
  <si>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</si>
  <si>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</si>
  <si>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</si>
  <si>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</si>
  <si>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</si>
  <si>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</si>
  <si>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</si>
  <si>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</si>
  <si>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</si>
  <si>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</si>
  <si>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</si>
  <si>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</si>
  <si>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</si>
  <si>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</si>
  <si>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</si>
  <si>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</si>
  <si>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</si>
  <si>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</si>
  <si>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</si>
  <si>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</si>
  <si>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</si>
  <si>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</si>
  <si>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</si>
  <si>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</si>
  <si>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</si>
  <si>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</si>
  <si>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</si>
  <si>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</si>
  <si>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</si>
  <si>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</si>
  <si>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</si>
  <si>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</si>
  <si>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</si>
  <si>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</si>
  <si>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</si>
  <si>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</si>
  <si>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</si>
  <si>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</si>
  <si>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</si>
  <si>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</si>
  <si>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</si>
  <si>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</si>
  <si>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</si>
  <si>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</si>
  <si>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</si>
  <si>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</si>
  <si>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</si>
  <si>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</si>
  <si>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</si>
  <si>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</si>
  <si>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</si>
  <si>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</si>
  <si>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</si>
  <si>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</si>
  <si>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</si>
  <si>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</si>
  <si>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</si>
  <si>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</si>
  <si>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</si>
  <si>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</si>
  <si>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</si>
  <si>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</si>
  <si>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</si>
  <si>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</si>
  <si>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</si>
  <si>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</si>
  <si>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</si>
  <si>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</si>
  <si>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</si>
  <si>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</si>
  <si>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</si>
  <si>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</si>
  <si>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</si>
  <si>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</si>
  <si>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</si>
  <si>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</si>
  <si>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</si>
  <si>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</si>
  <si>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</si>
  <si>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</si>
  <si>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</si>
  <si>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</si>
  <si>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</si>
  <si>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</si>
  <si>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</si>
  <si>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</si>
  <si>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</si>
  <si>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</si>
  <si>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</si>
  <si>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</si>
  <si>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</si>
  <si>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</si>
  <si>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</si>
  <si>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</si>
  <si>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</si>
  <si>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</si>
  <si>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</si>
  <si>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</si>
  <si>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</si>
  <si>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</si>
  <si>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</si>
  <si>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</si>
  <si>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</si>
  <si>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</si>
  <si>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</si>
  <si>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</si>
  <si>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</si>
  <si>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</si>
  <si>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</si>
  <si>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</si>
  <si>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</si>
  <si>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</si>
  <si>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</si>
  <si>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</si>
  <si>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</si>
  <si>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</si>
  <si>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</si>
  <si>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</si>
  <si>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</si>
  <si>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</si>
  <si>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</si>
  <si>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</si>
  <si>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</si>
  <si>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</si>
  <si>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</si>
  <si>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</si>
  <si>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</si>
  <si>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</si>
  <si>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</si>
  <si>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</si>
  <si>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</si>
  <si>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</si>
  <si>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</si>
  <si>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</si>
  <si>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</si>
  <si>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</si>
  <si>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</si>
  <si>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</si>
  <si>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</si>
  <si>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</si>
  <si>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</si>
  <si>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</si>
  <si>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</si>
  <si>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</si>
  <si>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</si>
  <si>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</si>
  <si>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</si>
  <si>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</si>
  <si>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</si>
  <si>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</si>
  <si>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</si>
  <si>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</si>
  <si>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</si>
  <si>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</si>
  <si>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</si>
  <si>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</si>
  <si>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</si>
  <si>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</si>
  <si>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</si>
  <si>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</si>
  <si>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</si>
  <si>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</si>
  <si>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</si>
  <si>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</si>
  <si>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</si>
  <si>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</si>
  <si>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</si>
  <si>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</si>
  <si>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</si>
  <si>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</si>
  <si>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</si>
  <si>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</si>
  <si>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</si>
  <si>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</si>
  <si>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</si>
  <si>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</si>
  <si>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</si>
  <si>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</si>
  <si>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</si>
  <si>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</si>
  <si>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</si>
  <si>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</si>
  <si>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</si>
  <si>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</si>
  <si>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</si>
  <si>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</si>
  <si>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</si>
  <si>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</si>
  <si>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</si>
  <si>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</si>
  <si>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</si>
  <si>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</si>
  <si>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</si>
  <si>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</si>
  <si>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</si>
  <si>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</si>
  <si>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</si>
  <si>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</si>
  <si>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</si>
  <si>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</si>
  <si>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</si>
  <si>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</si>
  <si>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</si>
  <si>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</si>
  <si>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</si>
  <si>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</si>
  <si>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</si>
  <si>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</si>
  <si>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</si>
  <si>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</si>
  <si>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</si>
  <si>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</si>
  <si>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</si>
  <si>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</si>
  <si>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</si>
  <si>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</si>
  <si>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</si>
  <si>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</si>
  <si>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</si>
  <si>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</si>
  <si>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</si>
  <si>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</si>
  <si>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</si>
  <si>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</si>
  <si>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</si>
  <si>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</si>
  <si>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</si>
  <si>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</si>
  <si>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</si>
  <si>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</si>
  <si>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</si>
  <si>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</si>
  <si>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</si>
  <si>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</si>
  <si>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</si>
  <si>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</si>
  <si>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</si>
  <si>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</si>
  <si>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</si>
  <si>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</si>
  <si>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</si>
  <si>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</si>
  <si>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</si>
  <si>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</si>
  <si>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</si>
  <si>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</si>
  <si>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</si>
  <si>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</si>
  <si>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</si>
  <si>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</si>
  <si>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</si>
  <si>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</si>
  <si>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</si>
  <si>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</si>
  <si>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</si>
  <si>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</si>
  <si>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</si>
  <si>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</si>
  <si>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</si>
  <si>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</si>
  <si>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</si>
  <si>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</si>
  <si>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</si>
  <si>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</si>
  <si>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</si>
  <si>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</si>
  <si>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</si>
  <si>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</si>
  <si>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</si>
  <si>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</si>
  <si>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</si>
  <si>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</si>
  <si>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</si>
  <si>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</si>
  <si>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</si>
  <si>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</si>
  <si>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</si>
  <si>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</si>
  <si>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</si>
  <si>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</si>
  <si>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</si>
  <si>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</si>
  <si>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</si>
  <si>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</si>
  <si>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</si>
  <si>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</si>
  <si>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</si>
  <si>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</si>
  <si>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</si>
  <si>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</si>
  <si>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</si>
  <si>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</si>
  <si>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</si>
  <si>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</si>
  <si>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</si>
  <si>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</si>
  <si>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</si>
  <si>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</si>
  <si>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</si>
  <si>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</si>
  <si>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</si>
  <si>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</si>
  <si>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</si>
  <si>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</si>
  <si>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</si>
  <si>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</si>
  <si>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</si>
  <si>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</si>
  <si>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</si>
  <si>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</si>
  <si>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</si>
  <si>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</si>
  <si>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</si>
  <si>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</si>
  <si>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</si>
  <si>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</si>
  <si>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</si>
  <si>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</si>
  <si>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</si>
  <si>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</si>
  <si>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</si>
  <si>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</si>
  <si>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</si>
  <si>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</si>
  <si>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</si>
  <si>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</si>
  <si>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</si>
  <si>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</si>
  <si>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</si>
  <si>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</si>
  <si>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</si>
  <si>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</si>
  <si>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</si>
  <si>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</si>
  <si>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</si>
  <si>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</si>
  <si>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</si>
  <si>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</si>
  <si>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</si>
  <si>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</si>
  <si>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</si>
  <si>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</si>
  <si>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</si>
  <si>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</si>
  <si>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</si>
  <si>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</si>
  <si>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</si>
  <si>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</si>
  <si>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</si>
  <si>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</si>
  <si>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</si>
  <si>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</si>
  <si>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</si>
  <si>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</si>
  <si>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</si>
  <si>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</si>
  <si>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</si>
  <si>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</si>
  <si>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</si>
  <si>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</si>
  <si>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</si>
  <si>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</si>
  <si>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</si>
  <si>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</si>
  <si>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</si>
  <si>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</si>
  <si>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</si>
  <si>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</si>
  <si>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</si>
  <si>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</si>
  <si>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</si>
  <si>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</si>
  <si>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</si>
  <si>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</si>
  <si>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</si>
  <si>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</si>
  <si>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</si>
  <si>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</si>
  <si>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</si>
  <si>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</si>
  <si>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</si>
  <si>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</si>
  <si>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</si>
  <si>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</si>
  <si>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</si>
  <si>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</si>
  <si>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</si>
  <si>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</si>
  <si>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</si>
  <si>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</si>
  <si>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</si>
  <si>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</si>
  <si>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</si>
  <si>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</si>
  <si>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</si>
  <si>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</si>
  <si>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</si>
  <si>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</si>
  <si>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</si>
  <si>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</si>
  <si>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</si>
  <si>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</si>
  <si>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</si>
  <si>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</si>
  <si>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</si>
  <si>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</si>
  <si>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</si>
  <si>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</si>
  <si>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</si>
  <si>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</si>
  <si>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</si>
  <si>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</si>
  <si>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</si>
  <si>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</si>
  <si>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</si>
  <si>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</si>
  <si>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</si>
  <si>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</si>
  <si>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</si>
  <si>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</si>
  <si>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</si>
  <si>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</si>
  <si>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</si>
  <si>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</si>
  <si>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</si>
  <si>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</si>
  <si>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</si>
  <si>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</si>
  <si>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</si>
  <si>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</si>
  <si>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</si>
  <si>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</si>
  <si>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</si>
  <si>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</si>
  <si>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</si>
  <si>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</si>
  <si>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</si>
  <si>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</si>
  <si>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</si>
  <si>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</si>
  <si>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</si>
  <si>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</si>
  <si>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</si>
  <si>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</si>
  <si>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</si>
  <si>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</si>
  <si>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</si>
  <si>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</si>
  <si>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</si>
  <si>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</si>
  <si>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</si>
  <si>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</si>
  <si>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</si>
  <si>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</si>
  <si>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</si>
  <si>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</si>
  <si>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</si>
  <si>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</si>
  <si>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</si>
  <si>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</si>
  <si>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</si>
  <si>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</si>
  <si>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</si>
  <si>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</si>
  <si>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</si>
  <si>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</si>
  <si>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</si>
  <si>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</si>
  <si>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</si>
  <si>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</si>
  <si>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</si>
  <si>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</si>
  <si>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</si>
  <si>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</si>
  <si>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</si>
  <si>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</si>
  <si>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</si>
  <si>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</si>
  <si>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</si>
  <si>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</si>
  <si>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</si>
  <si>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</si>
  <si>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</si>
  <si>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</si>
  <si>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</si>
  <si>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</si>
  <si>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</si>
  <si>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</si>
  <si>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</si>
  <si>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</si>
  <si>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</si>
  <si>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</si>
  <si>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</si>
  <si>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</si>
  <si>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</si>
  <si>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</si>
  <si>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</si>
  <si>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</si>
  <si>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</si>
  <si>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</si>
  <si>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</si>
  <si>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</si>
  <si>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</si>
  <si>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</si>
  <si>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</si>
  <si>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</si>
  <si>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</si>
  <si>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</si>
  <si>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</si>
  <si>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</si>
  <si>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</si>
  <si>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</si>
  <si>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</si>
  <si>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</si>
  <si>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</si>
  <si>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</si>
  <si>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</si>
  <si>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</si>
  <si>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</si>
  <si>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</si>
  <si>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</si>
  <si>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</si>
  <si>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</si>
  <si>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</si>
  <si>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</si>
  <si>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</si>
  <si>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</si>
  <si>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</si>
  <si>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</si>
  <si>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</si>
  <si>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</si>
  <si>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</si>
  <si>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</si>
  <si>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</si>
  <si>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</si>
  <si>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</si>
  <si>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</si>
  <si>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</si>
  <si>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</si>
  <si>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</si>
  <si>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</si>
  <si>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</si>
  <si>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</si>
  <si>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</si>
  <si>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</si>
  <si>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</si>
  <si>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</si>
  <si>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</si>
  <si>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</si>
  <si>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</si>
  <si>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</si>
  <si>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</si>
  <si>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</si>
  <si>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</si>
  <si>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</si>
  <si>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</si>
  <si>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</si>
  <si>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</si>
  <si>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</si>
  <si>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</si>
  <si>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</si>
  <si>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</si>
  <si>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</si>
  <si>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</si>
  <si>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</si>
  <si>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</si>
  <si>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</si>
  <si>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</si>
  <si>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</si>
  <si>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</si>
  <si>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</si>
  <si>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</si>
  <si>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</si>
  <si>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</si>
  <si>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</si>
  <si>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</si>
  <si>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</si>
  <si>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</si>
  <si>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</si>
  <si>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</si>
  <si>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</si>
  <si>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</si>
  <si>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</si>
  <si>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</si>
  <si>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</si>
  <si>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</si>
  <si>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</si>
  <si>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</si>
  <si>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</si>
  <si>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</si>
  <si>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</si>
  <si>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</si>
  <si>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</si>
  <si>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</si>
  <si>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</si>
  <si>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</si>
  <si>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</si>
  <si>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</si>
  <si>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</si>
  <si>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</si>
  <si>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</si>
  <si>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</si>
  <si>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</si>
  <si>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</si>
  <si>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</si>
  <si>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</si>
  <si>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</si>
  <si>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</si>
  <si>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</si>
  <si>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</si>
  <si>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</si>
  <si>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</si>
  <si>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</si>
  <si>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</si>
  <si>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</si>
  <si>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</si>
  <si>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</si>
  <si>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</si>
  <si>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</si>
  <si>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</si>
  <si>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</si>
  <si>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</si>
  <si>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</si>
  <si>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</si>
  <si>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</si>
  <si>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</si>
  <si>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</si>
  <si>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</si>
  <si>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</si>
  <si>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</si>
  <si>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</si>
  <si>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</si>
  <si>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</si>
  <si>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</si>
  <si>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</si>
  <si>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</si>
  <si>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</si>
  <si>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</si>
  <si>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</si>
  <si>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</si>
  <si>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</si>
  <si>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</si>
  <si>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</si>
  <si>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</si>
  <si>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</si>
  <si>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</si>
  <si>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</si>
  <si>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</si>
  <si>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</si>
  <si>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</si>
  <si>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</si>
  <si>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</si>
  <si>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</si>
  <si>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</si>
  <si>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</si>
  <si>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</si>
  <si>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</si>
  <si>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</si>
  <si>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</si>
  <si>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</si>
  <si>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</si>
  <si>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</si>
  <si>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</si>
  <si>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</si>
  <si>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</si>
  <si>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</si>
  <si>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</si>
  <si>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</si>
  <si>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</si>
  <si>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</si>
  <si>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</si>
  <si>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</si>
  <si>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</si>
  <si>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</si>
  <si>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</si>
  <si>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</si>
  <si>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</si>
  <si>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</si>
  <si>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</si>
  <si>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</si>
  <si>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</si>
  <si>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</si>
  <si>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</si>
  <si>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</si>
  <si>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</si>
  <si>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</si>
  <si>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</si>
  <si>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</si>
  <si>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</si>
  <si>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</si>
  <si>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</si>
  <si>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</si>
  <si>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</si>
  <si>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</si>
  <si>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</si>
  <si>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</si>
  <si>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</si>
  <si>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</si>
  <si>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</si>
  <si>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</si>
  <si>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</si>
  <si>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</si>
  <si>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</si>
  <si>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</si>
  <si>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</si>
  <si>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</si>
  <si>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</si>
  <si>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</si>
  <si>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</si>
  <si>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</si>
  <si>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</si>
  <si>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</si>
  <si>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</si>
  <si>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</si>
  <si>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</si>
  <si>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</si>
  <si>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</si>
  <si>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</si>
  <si>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</si>
  <si>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</si>
  <si>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</si>
  <si>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</si>
  <si>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</si>
  <si>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</si>
  <si>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</si>
  <si>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</si>
  <si>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</si>
  <si>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</si>
  <si>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</si>
  <si>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</si>
  <si>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</si>
  <si>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</si>
  <si>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</si>
  <si>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</si>
  <si>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</si>
  <si>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</si>
  <si>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</si>
  <si>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</si>
  <si>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</si>
  <si>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</si>
  <si>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</si>
  <si>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</si>
  <si>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</si>
  <si>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</si>
  <si>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</si>
  <si>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</si>
  <si>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</si>
  <si>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</si>
  <si>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</si>
  <si>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</si>
  <si>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</si>
  <si>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</si>
  <si>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</si>
  <si>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</si>
  <si>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</si>
  <si>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</si>
  <si>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</si>
  <si>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</si>
  <si>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</si>
  <si>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</si>
  <si>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</si>
  <si>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</si>
  <si>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</si>
  <si>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</si>
  <si>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</si>
  <si>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</si>
  <si>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</si>
  <si>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</si>
  <si>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</si>
  <si>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</si>
  <si>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</si>
  <si>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</si>
  <si>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</si>
  <si>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</si>
  <si>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</si>
  <si>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</si>
  <si>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</si>
  <si>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</si>
  <si>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</si>
  <si>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</si>
  <si>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</si>
  <si>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</si>
  <si>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</si>
  <si>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</si>
  <si>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</si>
  <si>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</si>
  <si>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</si>
  <si>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</si>
  <si>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</si>
  <si>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</si>
  <si>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</si>
  <si>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</si>
  <si>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</si>
  <si>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</si>
  <si>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</si>
  <si>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</si>
  <si>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</si>
  <si>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</si>
  <si>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</si>
  <si>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</si>
  <si>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</si>
  <si>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</si>
  <si>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</si>
  <si>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</si>
  <si>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</si>
  <si>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</si>
  <si>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</si>
  <si>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</si>
  <si>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</si>
  <si>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</si>
  <si>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</si>
  <si>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</si>
  <si>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</si>
  <si>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</si>
  <si>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</si>
  <si>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</si>
  <si>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</si>
  <si>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</si>
  <si>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</si>
  <si>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</si>
  <si>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</si>
  <si>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</si>
  <si>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</si>
  <si>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</si>
  <si>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</si>
  <si>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</si>
  <si>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</si>
  <si>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</si>
  <si>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</si>
  <si>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</si>
  <si>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</si>
  <si>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</si>
  <si>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</si>
  <si>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</si>
  <si>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</si>
  <si>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</si>
  <si>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</si>
  <si>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</si>
  <si>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</si>
  <si>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</si>
  <si>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</si>
  <si>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</si>
  <si>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</si>
  <si>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</si>
  <si>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</si>
  <si>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</si>
  <si>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</si>
  <si>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</si>
  <si>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</si>
  <si>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</si>
  <si>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</si>
  <si>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</si>
  <si>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</si>
  <si>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</si>
  <si>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</si>
  <si>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</si>
  <si>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</si>
  <si>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</si>
  <si>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</si>
  <si>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</si>
  <si>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</si>
  <si>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</si>
  <si>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</si>
  <si>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</si>
  <si>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</si>
  <si>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</si>
  <si>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</si>
  <si>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</si>
  <si>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</si>
  <si>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</si>
  <si>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</si>
  <si>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</si>
  <si>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</si>
  <si>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</si>
  <si>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</si>
  <si>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</si>
  <si>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</si>
  <si>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</si>
  <si>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</si>
  <si>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</si>
  <si>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</si>
  <si>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</si>
  <si>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</si>
  <si>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</si>
  <si>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</si>
  <si>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</si>
  <si>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</si>
  <si>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</si>
  <si>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</si>
  <si>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</si>
  <si>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</si>
  <si>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</si>
  <si>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</si>
  <si>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</si>
  <si>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</si>
  <si>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</si>
  <si>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</si>
  <si>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</si>
  <si>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</si>
  <si>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</si>
  <si>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</si>
  <si>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</si>
  <si>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</si>
  <si>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</si>
  <si>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</si>
  <si>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</si>
  <si>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</si>
  <si>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</si>
  <si>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</si>
  <si>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</si>
  <si>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</si>
  <si>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</si>
  <si>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</si>
  <si>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</si>
  <si>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</si>
  <si>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</si>
  <si>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</si>
  <si>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</si>
  <si>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</si>
  <si>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</si>
  <si>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</si>
  <si>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</si>
  <si>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</si>
  <si>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</si>
  <si>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</si>
  <si>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</si>
  <si>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</si>
  <si>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</si>
  <si>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</si>
  <si>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</si>
  <si>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</si>
  <si>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</si>
  <si>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</si>
  <si>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</si>
  <si>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</si>
  <si>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</si>
  <si>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</si>
  <si>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</si>
  <si>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</si>
  <si>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</si>
  <si>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</si>
  <si>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</si>
  <si>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</si>
  <si>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</si>
  <si>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</si>
  <si>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</si>
  <si>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</si>
  <si>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</si>
  <si>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</si>
  <si>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</si>
  <si>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</si>
  <si>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</si>
  <si>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</si>
  <si>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</si>
  <si>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</si>
  <si>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</si>
  <si>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</si>
  <si>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</si>
  <si>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</si>
  <si>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</si>
  <si>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</si>
  <si>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</si>
  <si>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</si>
  <si>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</si>
  <si>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</si>
  <si>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</si>
  <si>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</si>
  <si>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</si>
  <si>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</si>
  <si>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</si>
  <si>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</si>
  <si>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</si>
  <si>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</si>
  <si>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</si>
  <si>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</si>
  <si>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</si>
  <si>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</si>
  <si>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</si>
  <si>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</si>
  <si>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</si>
  <si>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</si>
  <si>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</si>
  <si>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</si>
  <si>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</si>
  <si>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</si>
  <si>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</si>
  <si>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</si>
  <si>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</si>
  <si>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</si>
  <si>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</si>
  <si>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</si>
  <si>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</si>
  <si>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</si>
  <si>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</si>
  <si>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</si>
  <si>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</si>
  <si>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</si>
  <si>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</si>
  <si>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</si>
  <si>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</si>
  <si>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</si>
  <si>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</si>
  <si>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</si>
  <si>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</si>
  <si>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</si>
  <si>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</si>
  <si>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</si>
  <si>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</si>
  <si>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</si>
  <si>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</si>
  <si>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</si>
  <si>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</si>
  <si>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</si>
  <si>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</si>
  <si>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</si>
  <si>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</si>
  <si>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</si>
  <si>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</si>
  <si>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</si>
  <si>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</si>
  <si>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</si>
  <si>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</si>
  <si>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</si>
  <si>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</si>
  <si>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</si>
  <si>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</si>
  <si>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</si>
  <si>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</si>
  <si>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</si>
  <si>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</si>
  <si>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</si>
  <si>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</si>
  <si>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</si>
  <si>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</si>
  <si>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</si>
  <si>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</si>
  <si>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</si>
  <si>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</si>
  <si>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</si>
  <si>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</si>
  <si>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</si>
  <si>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</si>
  <si>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</si>
  <si>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</si>
  <si>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</si>
  <si>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</si>
  <si>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</si>
  <si>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</si>
  <si>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</si>
  <si>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</si>
  <si>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</si>
  <si>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</si>
  <si>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</si>
  <si>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</si>
  <si>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</si>
  <si>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</si>
  <si>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</si>
  <si>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</si>
  <si>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</si>
  <si>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</si>
  <si>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</si>
  <si>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</si>
  <si>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</si>
  <si>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</si>
  <si>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</si>
  <si>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</si>
  <si>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</si>
  <si>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</si>
  <si>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</si>
  <si>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</si>
  <si>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</si>
  <si>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</si>
  <si>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</si>
  <si>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</si>
  <si>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</si>
  <si>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</si>
  <si>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</si>
  <si>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</si>
  <si>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</si>
  <si>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</si>
  <si>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</si>
  <si>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</si>
  <si>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</si>
  <si>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</si>
  <si>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</si>
  <si>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</si>
  <si>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</si>
  <si>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</si>
  <si>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</si>
  <si>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</si>
  <si>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</si>
  <si>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</si>
  <si>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</si>
  <si>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</si>
  <si>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</si>
  <si>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</si>
  <si>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</si>
  <si>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</si>
  <si>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</si>
  <si>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</si>
  <si>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</si>
  <si>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</si>
  <si>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</si>
  <si>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</si>
  <si>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</si>
  <si>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</si>
  <si>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</si>
  <si>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</si>
  <si>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</si>
  <si>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</si>
  <si>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</si>
  <si>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</si>
  <si>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</si>
  <si>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</si>
  <si>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</si>
  <si>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</si>
  <si>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</si>
  <si>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</si>
  <si>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</si>
  <si>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</si>
  <si>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</si>
  <si>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</si>
  <si>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</si>
  <si>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</si>
  <si>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</si>
  <si>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</si>
  <si>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</si>
  <si>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</si>
  <si>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</si>
  <si>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</si>
  <si>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</si>
  <si>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</si>
  <si>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</si>
  <si>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</si>
  <si>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</si>
  <si>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</si>
  <si>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</si>
  <si>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</si>
  <si>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</si>
  <si>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</si>
  <si>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</si>
  <si>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</si>
  <si>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</si>
  <si>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</si>
  <si>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</si>
  <si>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</si>
  <si>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</si>
  <si>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</si>
  <si>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</si>
  <si>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</si>
  <si>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</si>
  <si>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</si>
  <si>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</si>
  <si>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</si>
  <si>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</si>
  <si>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</si>
  <si>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</si>
  <si>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</si>
  <si>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</si>
  <si>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</si>
  <si>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</si>
  <si>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</si>
  <si>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</si>
  <si>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</si>
  <si>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</si>
  <si>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</si>
  <si>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</si>
  <si>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</si>
  <si>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</si>
  <si>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</si>
  <si>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</si>
  <si>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</si>
  <si>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</si>
  <si>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</si>
  <si>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</si>
  <si>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</si>
  <si>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</si>
  <si>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</si>
  <si>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</si>
  <si>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</si>
  <si>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</si>
  <si>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</si>
  <si>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</si>
  <si>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</si>
  <si>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</si>
  <si>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</si>
  <si>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</si>
  <si>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</si>
  <si>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</si>
  <si>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</si>
  <si>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</si>
  <si>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</si>
  <si>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</si>
  <si>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</si>
  <si>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</si>
  <si>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</si>
  <si>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</si>
  <si>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</si>
  <si>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</si>
  <si>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</si>
  <si>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</si>
  <si>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</si>
  <si>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</si>
  <si>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</si>
  <si>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</si>
  <si>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</si>
  <si>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</si>
  <si>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</si>
  <si>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</si>
  <si>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</si>
  <si>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</si>
  <si>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</si>
  <si>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</si>
  <si>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</si>
  <si>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</si>
  <si>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</si>
  <si>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</si>
  <si>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</si>
  <si>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</si>
  <si>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</si>
  <si>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</si>
  <si>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</si>
  <si>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</si>
  <si>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</si>
  <si>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</si>
  <si>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</si>
  <si>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</si>
  <si>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</si>
  <si>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</si>
  <si>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</si>
  <si>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</si>
  <si>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</si>
  <si>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</si>
  <si>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</si>
  <si>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</si>
  <si>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</si>
  <si>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</si>
  <si>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</si>
  <si>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</si>
  <si>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</si>
  <si>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</si>
  <si>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</si>
  <si>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</si>
  <si>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</si>
  <si>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</si>
  <si>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</si>
  <si>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</si>
  <si>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</si>
  <si>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</si>
  <si>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</si>
  <si>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</si>
  <si>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</si>
  <si>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</si>
  <si>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</si>
  <si>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</si>
  <si>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</si>
  <si>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</si>
  <si>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</si>
  <si>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</si>
  <si>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</si>
  <si>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</si>
  <si>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</si>
  <si>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</si>
  <si>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</si>
  <si>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</si>
  <si>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</si>
  <si>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</si>
  <si>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</si>
  <si>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</si>
  <si>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</si>
  <si>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</si>
  <si>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</si>
  <si>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</si>
  <si>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</si>
  <si>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</si>
  <si>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</si>
  <si>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</si>
  <si>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</si>
  <si>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</si>
  <si>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</si>
  <si>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</si>
  <si>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</si>
  <si>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</si>
  <si>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</si>
  <si>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</si>
  <si>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</si>
  <si>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</si>
  <si>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</si>
  <si>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</si>
  <si>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</si>
  <si>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</si>
  <si>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</si>
  <si>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</si>
  <si>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</si>
  <si>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</si>
  <si>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</si>
  <si>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</si>
  <si>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</si>
  <si>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</si>
  <si>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</si>
  <si>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</si>
  <si>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</si>
  <si>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</si>
  <si>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</si>
  <si>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</si>
  <si>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</si>
  <si>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</si>
  <si>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</si>
  <si>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</si>
  <si>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</si>
  <si>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</si>
  <si>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</si>
  <si>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</si>
  <si>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</si>
  <si>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</si>
  <si>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</si>
  <si>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</si>
  <si>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</si>
  <si>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</si>
  <si>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</si>
  <si>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</si>
  <si>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</si>
  <si>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</si>
  <si>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</si>
  <si>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</si>
  <si>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</si>
  <si>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</si>
  <si>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</si>
  <si>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</si>
  <si>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</si>
  <si>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</si>
  <si>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</si>
  <si>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</si>
  <si>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</si>
  <si>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</si>
  <si>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</si>
  <si>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</si>
  <si>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</si>
  <si>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</si>
  <si>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</si>
  <si>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</si>
  <si>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</si>
  <si>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</si>
  <si>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</si>
  <si>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</si>
  <si>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</si>
  <si>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</si>
  <si>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</si>
  <si>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</si>
  <si>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</si>
  <si>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</si>
  <si>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</si>
  <si>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</si>
  <si>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</si>
  <si>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</si>
  <si>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</si>
  <si>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</si>
  <si>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</si>
  <si>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</si>
  <si>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</si>
  <si>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</si>
  <si>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</si>
  <si>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</si>
  <si>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</si>
  <si>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</si>
  <si>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</si>
  <si>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</si>
  <si>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</si>
  <si>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</si>
  <si>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</si>
  <si>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</si>
  <si>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</si>
  <si>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</si>
  <si>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</si>
  <si>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</si>
  <si>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</si>
  <si>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</si>
  <si>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</si>
  <si>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</si>
  <si>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</si>
  <si>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</si>
  <si>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</si>
  <si>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</si>
  <si>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</si>
  <si>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</si>
  <si>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</si>
  <si>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</si>
  <si>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</si>
  <si>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</si>
  <si>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</si>
  <si>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</si>
  <si>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</si>
  <si>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</si>
  <si>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</si>
  <si>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</si>
  <si>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</si>
  <si>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</si>
  <si>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</si>
  <si>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</si>
  <si>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</si>
  <si>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</si>
  <si>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</si>
  <si>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</si>
  <si>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</si>
  <si>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</si>
  <si>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</si>
  <si>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</si>
  <si>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</si>
  <si>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</si>
  <si>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</si>
  <si>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</si>
  <si>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</si>
  <si>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</si>
  <si>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</si>
  <si>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</si>
  <si>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</si>
  <si>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</si>
  <si>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</si>
  <si>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</si>
  <si>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</si>
  <si>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</si>
  <si>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</si>
  <si>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</si>
  <si>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</si>
  <si>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</si>
  <si>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</si>
  <si>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</si>
  <si>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</si>
  <si>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</si>
  <si>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</si>
  <si>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</si>
  <si>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</si>
  <si>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</si>
  <si>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</si>
  <si>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</si>
  <si>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</si>
  <si>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</si>
  <si>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</si>
  <si>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</si>
  <si>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</si>
  <si>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</si>
  <si>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</si>
  <si>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</si>
  <si>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</si>
  <si>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</si>
  <si>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</si>
  <si>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</si>
  <si>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</si>
  <si>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</si>
  <si>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</si>
  <si>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</si>
  <si>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</si>
  <si>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</si>
  <si>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</si>
  <si>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</si>
  <si>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</si>
  <si>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</si>
  <si>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</si>
  <si>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</si>
  <si>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</si>
  <si>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</si>
  <si>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</si>
  <si>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</si>
  <si>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</si>
  <si>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</si>
  <si>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</si>
  <si>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</si>
  <si>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</si>
  <si>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</si>
  <si>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</si>
  <si>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</si>
  <si>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</si>
  <si>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</si>
  <si>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</si>
  <si>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</si>
  <si>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</si>
  <si>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</si>
  <si>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</si>
  <si>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</si>
  <si>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</si>
  <si>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</si>
  <si>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</si>
  <si>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</si>
  <si>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</si>
  <si>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</si>
  <si>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</si>
  <si>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</si>
  <si>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</si>
  <si>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</si>
  <si>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</si>
  <si>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</si>
  <si>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</si>
  <si>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</si>
  <si>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</si>
  <si>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</si>
  <si>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</si>
  <si>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</si>
  <si>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</si>
  <si>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</si>
  <si>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</si>
  <si>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</si>
  <si>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</si>
  <si>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</si>
  <si>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</si>
  <si>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</si>
  <si>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</si>
  <si>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</si>
  <si>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</si>
  <si>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</si>
  <si>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</si>
  <si>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</si>
  <si>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</si>
  <si>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</si>
  <si>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</si>
  <si>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</si>
  <si>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</si>
  <si>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</si>
  <si>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</si>
  <si>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</si>
  <si>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</si>
  <si>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</si>
  <si>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</si>
  <si>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</si>
  <si>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</si>
  <si>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</si>
  <si>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</si>
  <si>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</si>
  <si>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</si>
  <si>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</si>
  <si>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</si>
  <si>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</si>
  <si>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</si>
  <si>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</si>
  <si>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</si>
  <si>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</si>
  <si>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</si>
  <si>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</si>
  <si>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</si>
  <si>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</si>
  <si>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</si>
  <si>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</si>
  <si>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</si>
  <si>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</si>
  <si>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</si>
  <si>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</si>
  <si>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</si>
  <si>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</si>
  <si>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</si>
  <si>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</si>
  <si>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</si>
  <si>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</si>
  <si>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</si>
  <si>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</si>
  <si>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</si>
  <si>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</si>
  <si>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</si>
  <si>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</si>
  <si>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</si>
  <si>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</si>
  <si>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</si>
  <si>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</si>
  <si>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</si>
  <si>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</si>
  <si>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</si>
  <si>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</si>
  <si>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</si>
  <si>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</si>
  <si>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</si>
  <si>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</si>
  <si>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</si>
  <si>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</si>
  <si>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</si>
  <si>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</si>
  <si>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</si>
  <si>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</si>
  <si>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</si>
  <si>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</si>
  <si>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</si>
  <si>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</si>
  <si>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</si>
  <si>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</si>
  <si>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</si>
  <si>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</si>
  <si>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</si>
  <si>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</si>
  <si>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</si>
  <si>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</si>
  <si>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</si>
  <si>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</si>
  <si>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</si>
  <si>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</si>
  <si>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</si>
  <si>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</si>
  <si>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</si>
  <si>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</si>
  <si>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</si>
  <si>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</si>
  <si>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</si>
  <si>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</si>
  <si>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</si>
  <si>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</si>
  <si>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</si>
  <si>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</si>
  <si>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</si>
  <si>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</si>
  <si>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</si>
  <si>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</si>
  <si>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</si>
  <si>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</si>
  <si>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</si>
  <si>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</si>
  <si>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</si>
  <si>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</si>
  <si>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</si>
  <si>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</si>
  <si>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</si>
  <si>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</si>
  <si>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</si>
  <si>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</si>
  <si>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</si>
  <si>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</si>
  <si>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</si>
  <si>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</si>
  <si>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</si>
  <si>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</si>
  <si>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</si>
  <si>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</si>
  <si>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</si>
  <si>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</si>
  <si>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</si>
  <si>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</si>
  <si>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</si>
  <si>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</si>
  <si>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</si>
  <si>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</si>
  <si>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</si>
  <si>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</si>
  <si>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</si>
  <si>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</si>
  <si>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</si>
  <si>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</si>
  <si>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</si>
  <si>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</si>
  <si>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</si>
  <si>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</si>
  <si>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</si>
  <si>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</si>
  <si>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</si>
  <si>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</si>
  <si>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</si>
  <si>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</si>
  <si>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</si>
  <si>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</si>
  <si>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</si>
  <si>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</si>
  <si>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</si>
  <si>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</si>
  <si>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</si>
  <si>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</si>
  <si>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</si>
  <si>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</si>
  <si>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</si>
  <si>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</si>
  <si>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</si>
  <si>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</si>
  <si>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</si>
  <si>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</si>
  <si>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</si>
  <si>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</si>
  <si>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</si>
  <si>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</si>
  <si>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</si>
  <si>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</si>
  <si>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</si>
  <si>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</si>
  <si>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</si>
  <si>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</si>
  <si>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</si>
  <si>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</si>
  <si>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</si>
  <si>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</si>
  <si>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</si>
  <si>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</si>
  <si>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</si>
  <si>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</si>
  <si>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</si>
  <si>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</si>
  <si>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</si>
  <si>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</si>
  <si>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</si>
  <si>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</si>
  <si>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</si>
  <si>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</si>
  <si>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</si>
  <si>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</si>
  <si>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</si>
  <si>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</si>
  <si>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</si>
  <si>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</si>
  <si>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</si>
  <si>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</si>
  <si>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</si>
  <si>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</si>
  <si>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</si>
  <si>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</si>
  <si>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</si>
  <si>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</si>
  <si>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</si>
  <si>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</si>
  <si>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</si>
  <si>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</si>
  <si>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</si>
  <si>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</si>
  <si>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</si>
  <si>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</si>
  <si>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</si>
  <si>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</si>
  <si>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</si>
  <si>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</si>
  <si>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</si>
  <si>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</si>
  <si>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</si>
  <si>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</si>
  <si>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</si>
  <si>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</si>
  <si>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</si>
  <si>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</si>
  <si>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</si>
  <si>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</si>
  <si>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</si>
  <si>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</si>
  <si>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</si>
  <si>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</si>
  <si>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</si>
  <si>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</si>
  <si>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</si>
  <si>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</si>
  <si>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</si>
  <si>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</si>
  <si>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</si>
  <si>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</si>
  <si>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</si>
  <si>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</si>
  <si>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</si>
  <si>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</si>
  <si>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</si>
  <si>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</si>
  <si>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</si>
  <si>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</si>
  <si>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</si>
  <si>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</si>
  <si>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</si>
  <si>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</si>
  <si>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</si>
  <si>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</si>
  <si>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</si>
  <si>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</si>
  <si>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</si>
  <si>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</si>
  <si>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</si>
  <si>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</si>
  <si>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</si>
  <si>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</si>
  <si>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</si>
  <si>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</si>
  <si>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</si>
  <si>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</si>
  <si>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</si>
  <si>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</si>
  <si>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</si>
  <si>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</si>
  <si>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</si>
  <si>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</si>
  <si>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</si>
  <si>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</si>
  <si>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</si>
  <si>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</si>
  <si>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</si>
  <si>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</si>
  <si>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</si>
  <si>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</si>
  <si>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</si>
  <si>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</si>
  <si>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</si>
  <si>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</si>
  <si>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</si>
  <si>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</si>
  <si>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</si>
  <si>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</si>
  <si>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</si>
  <si>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</si>
  <si>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</si>
  <si>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</si>
  <si>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</si>
  <si>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</si>
  <si>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</si>
  <si>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</si>
  <si>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</si>
  <si>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</si>
  <si>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</si>
  <si>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</si>
  <si>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</si>
  <si>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</si>
  <si>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</si>
  <si>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</si>
  <si>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</si>
  <si>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</si>
  <si>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</si>
  <si>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</si>
  <si>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</si>
  <si>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</si>
  <si>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</si>
  <si>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</si>
  <si>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</si>
  <si>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</si>
  <si>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</si>
  <si>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</si>
  <si>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</si>
  <si>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</si>
  <si>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</si>
  <si>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</si>
  <si>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</si>
  <si>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</si>
  <si>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</si>
  <si>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</si>
  <si>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</si>
  <si>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</si>
  <si>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</si>
  <si>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</si>
  <si>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</si>
  <si>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</si>
  <si>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</si>
  <si>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</si>
  <si>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</si>
  <si>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</si>
  <si>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</si>
  <si>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</si>
  <si>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</si>
  <si>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</si>
  <si>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</si>
  <si>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</si>
  <si>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</si>
  <si>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</si>
  <si>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</si>
  <si>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</si>
  <si>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</si>
  <si>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</si>
  <si>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</si>
  <si>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</si>
  <si>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</si>
  <si>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</si>
  <si>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</si>
  <si>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</si>
  <si>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</si>
  <si>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</si>
  <si>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</si>
  <si>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</si>
  <si>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</si>
  <si>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</si>
  <si>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</si>
  <si>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</si>
  <si>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</si>
  <si>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</si>
  <si>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</si>
  <si>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</si>
  <si>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</si>
  <si>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</si>
  <si>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</si>
  <si>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</si>
  <si>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</si>
  <si>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</si>
  <si>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</si>
  <si>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</si>
  <si>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</si>
  <si>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</si>
  <si>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</si>
  <si>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</si>
  <si>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</si>
  <si>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</si>
  <si>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</si>
  <si>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</si>
  <si>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</si>
  <si>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</si>
  <si>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</si>
  <si>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</si>
  <si>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</si>
  <si>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</si>
  <si>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</si>
  <si>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</si>
  <si>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</si>
  <si>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</si>
  <si>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</si>
  <si>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</si>
  <si>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</si>
  <si>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</si>
  <si>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</si>
  <si>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</si>
  <si>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</si>
  <si>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</si>
  <si>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</si>
  <si>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</si>
  <si>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</si>
  <si>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</si>
  <si>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</si>
  <si>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</si>
  <si>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</si>
  <si>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</si>
  <si>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</si>
  <si>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</si>
  <si>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</si>
  <si>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</si>
  <si>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</si>
  <si>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</si>
  <si>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</si>
  <si>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</si>
  <si>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</si>
  <si>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</si>
  <si>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</si>
  <si>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</si>
  <si>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</si>
  <si>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</si>
  <si>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</si>
  <si>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</si>
  <si>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</si>
  <si>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</si>
  <si>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</si>
  <si>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</si>
  <si>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</si>
  <si>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</si>
  <si>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</si>
  <si>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</si>
  <si>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</si>
  <si>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</si>
  <si>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</si>
  <si>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</si>
  <si>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</si>
  <si>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</si>
  <si>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</si>
  <si>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</si>
  <si>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</si>
  <si>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</si>
  <si>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</si>
  <si>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</si>
  <si>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</si>
  <si>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</si>
  <si>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</si>
  <si>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</si>
  <si>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</si>
  <si>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</si>
  <si>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</si>
  <si>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</si>
  <si>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</si>
  <si>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</si>
  <si>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</si>
  <si>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</si>
  <si>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</si>
  <si>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</si>
  <si>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</si>
  <si>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</si>
  <si>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</si>
  <si>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</si>
  <si>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</si>
  <si>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</si>
  <si>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</si>
  <si>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</si>
  <si>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</si>
  <si>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</si>
  <si>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</si>
  <si>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</si>
  <si>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</si>
  <si>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</si>
  <si>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</si>
  <si>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</si>
  <si>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</si>
  <si>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</si>
  <si>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</si>
  <si>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</si>
  <si>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</si>
  <si>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</si>
  <si>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</si>
  <si>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</si>
  <si>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</si>
  <si>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</si>
  <si>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</si>
  <si>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</si>
  <si>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</si>
  <si>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</si>
  <si>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</si>
  <si>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</si>
  <si>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</si>
  <si>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</si>
  <si>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</si>
  <si>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</si>
  <si>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</si>
  <si>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</si>
  <si>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</si>
  <si>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</si>
  <si>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</si>
  <si>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</si>
  <si>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</si>
  <si>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</si>
  <si>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</si>
  <si>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</si>
  <si>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</si>
  <si>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</si>
  <si>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</si>
  <si>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</si>
  <si>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</si>
  <si>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</si>
  <si>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</si>
  <si>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</si>
  <si>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</si>
  <si>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</si>
  <si>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</si>
  <si>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</si>
  <si>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</si>
  <si>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</si>
  <si>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</si>
  <si>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</si>
  <si>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</si>
  <si>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</si>
  <si>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</si>
  <si>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</si>
  <si>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</si>
  <si>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</si>
  <si>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</si>
  <si>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</si>
  <si>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</si>
  <si>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</si>
  <si>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</si>
  <si>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</si>
  <si>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</si>
  <si>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</si>
  <si>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</si>
  <si>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</si>
  <si>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</si>
  <si>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</si>
  <si>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</si>
  <si>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</si>
  <si>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</si>
  <si>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</si>
  <si>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</si>
  <si>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</si>
  <si>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</si>
  <si>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</si>
  <si>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</si>
  <si>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</si>
  <si>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</si>
  <si>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</si>
  <si>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</si>
  <si>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</si>
  <si>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</si>
  <si>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</si>
  <si>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</si>
  <si>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</si>
  <si>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</si>
  <si>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</si>
  <si>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</si>
  <si>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</si>
  <si>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</si>
  <si>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</si>
  <si>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</si>
  <si>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</si>
  <si>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</si>
  <si>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</si>
  <si>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</si>
  <si>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</si>
  <si>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</si>
  <si>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</si>
  <si>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</si>
  <si>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</si>
  <si>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</si>
  <si>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</si>
  <si>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</si>
  <si>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</si>
  <si>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</si>
  <si>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</si>
  <si>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</si>
  <si>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</si>
  <si>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</si>
  <si>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</si>
  <si>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</si>
  <si>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</si>
  <si>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</si>
  <si>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</si>
  <si>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</si>
  <si>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</si>
  <si>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</si>
  <si>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</si>
  <si>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</si>
  <si>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</si>
  <si>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</si>
  <si>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</si>
  <si>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</si>
  <si>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</si>
  <si>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</si>
  <si>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</si>
  <si>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</si>
  <si>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</si>
  <si>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</si>
  <si>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</si>
  <si>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</si>
  <si>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</si>
  <si>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</si>
  <si>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</si>
  <si>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</si>
  <si>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</si>
  <si>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</si>
  <si>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</si>
  <si>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</si>
  <si>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</si>
  <si>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</si>
  <si>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</si>
  <si>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</si>
  <si>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</si>
  <si>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</si>
  <si>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</si>
  <si>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</si>
  <si>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</si>
  <si>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</si>
  <si>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</si>
  <si>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</si>
  <si>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</si>
  <si>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</si>
  <si>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</si>
  <si>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</si>
  <si>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</si>
  <si>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</si>
  <si>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</si>
  <si>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</si>
  <si>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</si>
  <si>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</si>
  <si>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</si>
  <si>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</si>
  <si>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</si>
  <si>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</si>
  <si>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</si>
  <si>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</si>
  <si>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</si>
  <si>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</si>
  <si>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</si>
  <si>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</si>
  <si>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</si>
  <si>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</si>
  <si>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</si>
  <si>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</si>
  <si>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</si>
  <si>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</si>
  <si>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</si>
  <si>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</si>
  <si>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</si>
  <si>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</si>
  <si>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</si>
  <si>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</si>
  <si>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</si>
  <si>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</si>
  <si>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</si>
  <si>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</si>
  <si>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</si>
  <si>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</si>
  <si>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</si>
  <si>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</si>
  <si>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</si>
  <si>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</si>
  <si>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</si>
  <si>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</si>
  <si>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</si>
  <si>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</si>
  <si>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</si>
  <si>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</si>
  <si>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</si>
  <si>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</si>
  <si>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</si>
  <si>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</si>
  <si>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</si>
  <si>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</si>
  <si>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</si>
  <si>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</si>
  <si>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</si>
  <si>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</si>
  <si>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</si>
  <si>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</si>
  <si>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</si>
  <si>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</si>
  <si>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</si>
  <si>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</si>
  <si>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</si>
  <si>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</si>
  <si>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</si>
  <si>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</si>
  <si>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</si>
  <si>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</si>
  <si>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</si>
  <si>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</si>
  <si>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</si>
  <si>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</si>
  <si>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</si>
  <si>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</si>
  <si>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</si>
  <si>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</si>
  <si>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</si>
  <si>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</si>
  <si>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</si>
  <si>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</si>
  <si>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</si>
  <si>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</si>
  <si>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</si>
  <si>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</si>
  <si>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</si>
  <si>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</si>
  <si>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</si>
  <si>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</si>
  <si>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</si>
  <si>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</si>
  <si>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</si>
  <si>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</si>
  <si>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</si>
  <si>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</si>
  <si>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</si>
  <si>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</si>
  <si>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</si>
  <si>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</si>
  <si>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</si>
  <si>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</si>
  <si>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</si>
  <si>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</si>
  <si>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</si>
  <si>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</si>
  <si>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</si>
  <si>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</si>
  <si>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</si>
  <si>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</si>
  <si>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</si>
  <si>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</si>
  <si>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</si>
  <si>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</si>
  <si>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</si>
  <si>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</si>
  <si>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</si>
  <si>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</si>
  <si>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</si>
  <si>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</si>
  <si>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</si>
  <si>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</si>
  <si>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</si>
  <si>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</si>
  <si>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</si>
  <si>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</si>
  <si>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</si>
  <si>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</si>
  <si>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</si>
  <si>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</si>
  <si>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</si>
  <si>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</si>
  <si>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</si>
  <si>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</si>
  <si>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</si>
  <si>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</si>
  <si>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</si>
  <si>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</si>
  <si>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</si>
  <si>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</si>
  <si>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</si>
  <si>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</si>
  <si>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</si>
  <si>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</si>
  <si>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</si>
  <si>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</si>
  <si>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</si>
  <si>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</si>
  <si>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</si>
  <si>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</si>
  <si>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</si>
  <si>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</si>
  <si>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</si>
  <si>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</si>
  <si>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</si>
  <si>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</si>
  <si>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</si>
  <si>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</si>
  <si>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</si>
  <si>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</si>
  <si>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</si>
  <si>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</si>
  <si>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</si>
  <si>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</si>
  <si>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</si>
  <si>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</si>
  <si>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</si>
  <si>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</si>
  <si>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</si>
  <si>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</si>
  <si>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</si>
  <si>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</si>
  <si>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</si>
  <si>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</si>
  <si>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</si>
  <si>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</si>
  <si>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</si>
  <si>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</si>
  <si>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</si>
  <si>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</si>
  <si>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</si>
  <si>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</si>
  <si>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</si>
  <si>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</si>
  <si>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</si>
  <si>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</si>
  <si>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</si>
  <si>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</si>
  <si>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</si>
  <si>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</si>
  <si>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</si>
  <si>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</si>
  <si>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</si>
  <si>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</si>
  <si>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</si>
  <si>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</si>
  <si>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</si>
  <si>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</si>
  <si>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</si>
  <si>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</si>
  <si>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</si>
  <si>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</si>
  <si>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</si>
  <si>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</si>
  <si>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</si>
  <si>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</si>
  <si>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</si>
  <si>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</si>
  <si>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</si>
  <si>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</si>
  <si>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</si>
  <si>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</si>
  <si>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</si>
  <si>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</si>
  <si>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</si>
  <si>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</si>
  <si>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</si>
  <si>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</si>
  <si>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</si>
  <si>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</si>
  <si>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</si>
  <si>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</si>
  <si>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</si>
  <si>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</si>
  <si>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</si>
  <si>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</si>
  <si>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</si>
  <si>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</si>
  <si>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</si>
  <si>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</si>
  <si>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</si>
  <si>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</si>
  <si>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</si>
  <si>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</si>
  <si>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</si>
  <si>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</si>
  <si>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</si>
  <si>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</si>
  <si>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</si>
  <si>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</si>
  <si>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</si>
  <si>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</si>
  <si>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</si>
  <si>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</si>
  <si>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</si>
  <si>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</si>
  <si>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</si>
  <si>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</si>
  <si>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</si>
  <si>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</si>
  <si>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</si>
  <si>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</si>
  <si>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</si>
  <si>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</si>
  <si>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</si>
  <si>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</si>
  <si>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</si>
  <si>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</si>
  <si>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</si>
  <si>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</si>
  <si>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</si>
  <si>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</si>
  <si>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</si>
  <si>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</si>
  <si>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</si>
  <si>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</si>
  <si>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</si>
  <si>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</si>
  <si>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</si>
  <si>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</si>
  <si>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</si>
  <si>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</si>
  <si>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</si>
  <si>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</si>
  <si>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</si>
  <si>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</si>
  <si>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</si>
  <si>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</si>
  <si>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</si>
  <si>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</si>
  <si>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</si>
  <si>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</si>
  <si>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</si>
  <si>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</si>
  <si>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</si>
  <si>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</si>
  <si>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</si>
  <si>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</si>
  <si>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</si>
  <si>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</si>
  <si>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</si>
  <si>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</si>
  <si>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</si>
  <si>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</si>
  <si>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</si>
  <si>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</si>
  <si>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</si>
  <si>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</si>
  <si>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</si>
  <si>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</si>
  <si>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</si>
  <si>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</si>
  <si>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</si>
  <si>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</si>
  <si>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</si>
  <si>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</si>
  <si>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</si>
  <si>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</si>
  <si>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</si>
  <si>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</si>
  <si>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</si>
  <si>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</si>
  <si>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</si>
  <si>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</si>
  <si>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</si>
  <si>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</si>
  <si>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</si>
  <si>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</si>
  <si>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</si>
  <si>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</si>
  <si>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</si>
  <si>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</si>
  <si>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</si>
  <si>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</si>
  <si>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</si>
  <si>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</si>
  <si>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</si>
  <si>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</si>
  <si>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</si>
  <si>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</si>
  <si>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</si>
  <si>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</si>
  <si>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</si>
  <si>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</si>
  <si>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</si>
  <si>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</si>
  <si>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</si>
  <si>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</si>
  <si>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</si>
  <si>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</si>
  <si>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</si>
  <si>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</si>
  <si>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</si>
  <si>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</si>
  <si>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</si>
  <si>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</si>
  <si>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</si>
  <si>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</si>
  <si>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</si>
  <si>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</si>
  <si>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</si>
  <si>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</si>
  <si>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</si>
  <si>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</si>
  <si>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</si>
  <si>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</si>
  <si>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</si>
  <si>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</si>
  <si>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</si>
  <si>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</si>
  <si>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</si>
  <si>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</si>
  <si>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</si>
  <si>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</si>
  <si>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</si>
  <si>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</si>
  <si>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</si>
  <si>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</si>
  <si>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</si>
  <si>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</si>
  <si>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</si>
  <si>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</si>
  <si>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</si>
  <si>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</si>
  <si>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</si>
  <si>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</si>
  <si>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</si>
  <si>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</si>
  <si>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</si>
  <si>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</si>
  <si>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</si>
  <si>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</si>
  <si>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</si>
  <si>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</si>
  <si>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</si>
  <si>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</si>
  <si>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</si>
  <si>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</si>
  <si>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</si>
  <si>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</si>
  <si>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</si>
  <si>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</si>
  <si>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</si>
  <si>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</si>
  <si>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</si>
  <si>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</si>
  <si>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</si>
  <si>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</si>
  <si>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</si>
  <si>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</si>
  <si>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</si>
  <si>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</si>
  <si>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</si>
  <si>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</si>
  <si>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</si>
  <si>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</si>
  <si>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</si>
  <si>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</si>
  <si>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</si>
  <si>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</si>
  <si>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</si>
  <si>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</si>
  <si>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</si>
  <si>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</si>
  <si>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</si>
  <si>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</si>
  <si>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</si>
  <si>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</si>
  <si>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</si>
  <si>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</si>
  <si>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</si>
  <si>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</si>
  <si>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</si>
  <si>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</si>
  <si>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</si>
  <si>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</si>
  <si>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</si>
  <si>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</si>
  <si>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</si>
  <si>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</si>
  <si>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</si>
  <si>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</si>
  <si>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</si>
  <si>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</si>
  <si>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</si>
  <si>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</si>
  <si>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</si>
  <si>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</si>
  <si>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</si>
  <si>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</si>
  <si>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</si>
  <si>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</si>
  <si>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</si>
  <si>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</si>
  <si>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</si>
  <si>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</si>
  <si>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</si>
  <si>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</si>
  <si>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</si>
  <si>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</si>
  <si>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</si>
  <si>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</si>
  <si>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</si>
  <si>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</si>
  <si>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</si>
  <si>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</si>
  <si>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</si>
  <si>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</si>
  <si>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</si>
  <si>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</si>
  <si>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</si>
  <si>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</si>
  <si>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</si>
  <si>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</si>
  <si>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</si>
  <si>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</si>
  <si>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</si>
  <si>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</si>
  <si>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</si>
  <si>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</si>
  <si>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</si>
  <si>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</si>
  <si>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</si>
  <si>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</si>
  <si>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</si>
  <si>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</si>
  <si>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</si>
  <si>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</si>
  <si>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</si>
  <si>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</si>
  <si>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</si>
  <si>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</si>
  <si>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</si>
  <si>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</si>
  <si>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</si>
  <si>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</si>
  <si>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</si>
  <si>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</si>
  <si>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</si>
  <si>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</si>
  <si>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</si>
  <si>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</si>
  <si>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</si>
  <si>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</si>
  <si>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</si>
  <si>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</si>
  <si>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</si>
  <si>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</si>
  <si>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</si>
  <si>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</si>
  <si>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</si>
  <si>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</si>
  <si>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</si>
  <si>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</si>
  <si>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</si>
  <si>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</si>
  <si>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</si>
  <si>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</si>
  <si>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</si>
  <si>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</si>
  <si>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</si>
  <si>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</si>
  <si>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</si>
  <si>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</si>
  <si>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</si>
  <si>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</si>
  <si>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</si>
  <si>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</si>
  <si>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</si>
  <si>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</si>
  <si>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</si>
  <si>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</si>
  <si>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</si>
  <si>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</si>
  <si>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</si>
  <si>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</si>
  <si>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</si>
  <si>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</si>
  <si>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</si>
  <si>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</si>
  <si>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</si>
  <si>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</si>
  <si>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</si>
  <si>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</si>
  <si>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</si>
  <si>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</si>
  <si>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</si>
  <si>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</si>
  <si>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</si>
  <si>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</si>
  <si>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</si>
  <si>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</si>
  <si>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</si>
  <si>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</si>
  <si>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</si>
  <si>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</si>
  <si>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</si>
  <si>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</si>
  <si>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</si>
  <si>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</si>
  <si>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</si>
  <si>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</si>
  <si>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</si>
  <si>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</si>
  <si>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</si>
  <si>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</si>
  <si>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</si>
  <si>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</si>
  <si>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</si>
  <si>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</si>
  <si>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</si>
  <si>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</si>
  <si>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</si>
  <si>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</si>
  <si>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</si>
  <si>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</si>
  <si>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</si>
  <si>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</si>
  <si>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</si>
  <si>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</si>
  <si>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</si>
  <si>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</si>
  <si>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</si>
  <si>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</si>
  <si>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</si>
  <si>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</si>
  <si>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</si>
  <si>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</si>
  <si>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</si>
  <si>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</si>
  <si>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</si>
  <si>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</si>
  <si>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</si>
  <si>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</si>
  <si>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</si>
  <si>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</si>
  <si>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</si>
  <si>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</si>
  <si>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</si>
  <si>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</si>
  <si>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</si>
  <si>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</si>
  <si>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</si>
  <si>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</si>
  <si>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</si>
  <si>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</si>
  <si>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</si>
  <si>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</si>
  <si>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</si>
  <si>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</si>
  <si>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</si>
  <si>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</si>
  <si>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</si>
  <si>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</si>
  <si>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</si>
  <si>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</si>
  <si>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</si>
  <si>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</si>
  <si>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</si>
  <si>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</si>
  <si>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</si>
  <si>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</si>
  <si>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</si>
  <si>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</si>
  <si>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</si>
  <si>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</si>
  <si>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</si>
  <si>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</si>
  <si>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</si>
  <si>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</si>
  <si>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</si>
  <si>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</si>
  <si>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</si>
  <si>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</si>
  <si>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</si>
  <si>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</si>
  <si>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</si>
  <si>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</si>
  <si>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</si>
  <si>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</si>
  <si>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</si>
  <si>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</si>
  <si>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</si>
  <si>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</si>
  <si>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</si>
  <si>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</si>
  <si>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</si>
  <si>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</si>
  <si>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</si>
  <si>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</si>
  <si>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</si>
  <si>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</si>
  <si>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</si>
  <si>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</si>
  <si>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</si>
  <si>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</si>
  <si>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</si>
  <si>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</si>
  <si>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</si>
  <si>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</si>
  <si>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</si>
  <si>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</si>
  <si>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</si>
  <si>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</si>
  <si>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</si>
  <si>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</si>
  <si>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</si>
  <si>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</si>
  <si>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</si>
  <si>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</si>
  <si>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</si>
  <si>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</si>
  <si>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</si>
  <si>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</si>
  <si>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</si>
  <si>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</si>
  <si>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</si>
  <si>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</si>
  <si>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</si>
  <si>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</si>
  <si>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</si>
  <si>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</si>
  <si>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</si>
  <si>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</si>
  <si>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</si>
  <si>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</si>
  <si>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</si>
  <si>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</si>
  <si>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</si>
  <si>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</si>
  <si>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</si>
  <si>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</si>
  <si>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</si>
  <si>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</si>
  <si>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</si>
  <si>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</si>
  <si>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</si>
  <si>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</si>
  <si>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</si>
  <si>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</si>
  <si>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</si>
  <si>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</si>
  <si>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</si>
  <si>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</si>
  <si>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</si>
  <si>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</si>
  <si>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</si>
  <si>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</si>
  <si>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</si>
  <si>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</si>
  <si>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</si>
  <si>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</si>
  <si>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</si>
  <si>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</si>
  <si>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</si>
  <si>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</si>
  <si>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</si>
  <si>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</si>
  <si>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</si>
  <si>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</si>
  <si>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</si>
  <si>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</si>
  <si>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</si>
  <si>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</si>
  <si>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</si>
  <si>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</si>
  <si>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</si>
  <si>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</si>
  <si>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</si>
  <si>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</si>
  <si>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</si>
  <si>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</si>
  <si>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</si>
  <si>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</si>
  <si>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</si>
  <si>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</si>
  <si>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</si>
  <si>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</si>
  <si>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</si>
  <si>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</si>
  <si>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</si>
  <si>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</si>
  <si>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</si>
  <si>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</si>
  <si>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</si>
  <si>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</si>
  <si>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</si>
  <si>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</si>
  <si>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</si>
  <si>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</si>
  <si>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</si>
  <si>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</si>
  <si>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</si>
  <si>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</si>
  <si>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</si>
  <si>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</si>
  <si>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</si>
  <si>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</si>
  <si>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</si>
  <si>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</si>
  <si>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</si>
  <si>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</si>
  <si>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</si>
  <si>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</si>
  <si>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</si>
  <si>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</si>
  <si>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</si>
  <si>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</si>
  <si>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</si>
  <si>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</si>
  <si>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</si>
  <si>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</si>
  <si>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</si>
  <si>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</si>
  <si>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</si>
  <si>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</si>
  <si>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</si>
  <si>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</si>
  <si>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</si>
  <si>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</si>
  <si>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</si>
  <si>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</si>
  <si>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</si>
  <si>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</si>
  <si>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</si>
  <si>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</si>
  <si>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</si>
  <si>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</si>
  <si>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</si>
  <si>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</si>
  <si>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</si>
  <si>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</si>
  <si>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</si>
  <si>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</si>
  <si>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</si>
  <si>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</si>
  <si>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</si>
  <si>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</si>
  <si>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</si>
  <si>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</si>
  <si>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</si>
  <si>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</si>
  <si>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</si>
  <si>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</si>
  <si>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</si>
  <si>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</si>
  <si>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</si>
  <si>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</si>
  <si>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</si>
  <si>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</si>
  <si>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</si>
  <si>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</si>
  <si>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</si>
  <si>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</si>
  <si>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</si>
  <si>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</si>
  <si>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</si>
  <si>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</si>
  <si>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</si>
  <si>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</si>
  <si>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</si>
  <si>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</si>
  <si>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</si>
  <si>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</si>
  <si>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</si>
  <si>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</si>
  <si>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</si>
  <si>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</si>
  <si>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</si>
  <si>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</si>
  <si>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</si>
  <si>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</si>
  <si>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</si>
  <si>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</si>
  <si>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</si>
  <si>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</si>
  <si>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</si>
  <si>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</si>
  <si>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</si>
  <si>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</si>
  <si>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</si>
  <si>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</si>
  <si>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</si>
  <si>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</si>
  <si>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</si>
  <si>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</si>
  <si>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</si>
  <si>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</si>
  <si>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</si>
  <si>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</si>
  <si>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</si>
  <si>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</si>
  <si>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</si>
  <si>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</si>
  <si>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</si>
  <si>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</si>
  <si>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</si>
  <si>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</si>
  <si>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</si>
  <si>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</si>
  <si>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</si>
  <si>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</si>
  <si>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</si>
  <si>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</si>
  <si>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</si>
  <si>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</si>
  <si>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</si>
  <si>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</si>
  <si>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</si>
  <si>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</si>
  <si>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</si>
  <si>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</si>
  <si>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</si>
  <si>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</si>
  <si>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</si>
  <si>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</si>
  <si>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</si>
  <si>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</si>
  <si>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</si>
  <si>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</si>
  <si>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</si>
  <si>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</si>
  <si>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</si>
  <si>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</si>
  <si>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</si>
  <si>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</si>
  <si>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</si>
  <si>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</si>
  <si>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</si>
  <si>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</si>
  <si>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</si>
  <si>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</si>
  <si>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</si>
  <si>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</si>
  <si>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</si>
  <si>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</si>
  <si>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</si>
  <si>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</si>
  <si>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</si>
  <si>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</si>
  <si>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</si>
  <si>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</si>
  <si>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</si>
  <si>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</si>
  <si>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</si>
  <si>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</si>
  <si>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</si>
  <si>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</si>
  <si>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</si>
  <si>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</si>
  <si>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</si>
  <si>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</si>
  <si>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</si>
  <si>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</si>
  <si>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</si>
  <si>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</si>
  <si>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</si>
  <si>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</si>
  <si>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</si>
  <si>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</si>
  <si>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</si>
  <si>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</si>
  <si>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</si>
  <si>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</si>
  <si>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</si>
  <si>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</si>
  <si>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</si>
  <si>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</si>
  <si>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</si>
  <si>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</si>
  <si>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</si>
  <si>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</si>
  <si>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</si>
  <si>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</si>
  <si>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</si>
  <si>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</si>
  <si>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</si>
  <si>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</si>
  <si>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</si>
  <si>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</si>
  <si>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</si>
  <si>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</si>
  <si>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</si>
  <si>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</si>
  <si>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</si>
  <si>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</si>
  <si>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</si>
  <si>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</si>
  <si>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</si>
  <si>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</si>
  <si>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</si>
  <si>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</si>
  <si>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</si>
  <si>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</si>
  <si>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</si>
  <si>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</si>
  <si>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</si>
  <si>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</si>
  <si>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</si>
  <si>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</si>
  <si>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</si>
  <si>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</si>
  <si>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</si>
  <si>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</si>
  <si>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</si>
  <si>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</si>
  <si>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</si>
  <si>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</si>
  <si>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</si>
  <si>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</si>
  <si>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</si>
  <si>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</si>
  <si>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</si>
  <si>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</si>
  <si>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</si>
  <si>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</si>
  <si>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</si>
  <si>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</si>
  <si>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</si>
  <si>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</si>
  <si>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</si>
  <si>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</si>
  <si>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</si>
  <si>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</si>
  <si>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</si>
  <si>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</si>
  <si>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</si>
  <si>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</si>
  <si>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</si>
  <si>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</si>
  <si>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</si>
  <si>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</si>
  <si>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</si>
  <si>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</si>
  <si>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</si>
  <si>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</si>
  <si>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</si>
  <si>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</si>
  <si>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</si>
  <si>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</si>
  <si>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</si>
  <si>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</si>
  <si>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</si>
  <si>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</si>
  <si>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</si>
  <si>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</si>
  <si>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</si>
  <si>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</si>
  <si>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</si>
  <si>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</si>
  <si>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</si>
  <si>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</si>
  <si>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</si>
  <si>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</si>
  <si>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</si>
  <si>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</si>
  <si>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</si>
  <si>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</si>
  <si>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</si>
  <si>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</si>
  <si>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</si>
  <si>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</si>
  <si>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</si>
  <si>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</si>
  <si>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</si>
  <si>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</si>
  <si>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</si>
  <si>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</si>
  <si>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</si>
  <si>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</si>
  <si>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</si>
  <si>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</si>
  <si>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</si>
  <si>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</si>
  <si>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</si>
  <si>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</si>
  <si>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</si>
  <si>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</si>
  <si>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</si>
  <si>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</si>
  <si>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</si>
  <si>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</si>
  <si>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</si>
  <si>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</si>
  <si>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</si>
  <si>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</si>
  <si>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</si>
  <si>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</si>
  <si>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</si>
  <si>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</si>
  <si>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</si>
  <si>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</si>
  <si>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</si>
  <si>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</si>
  <si>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</si>
  <si>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</si>
  <si>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</si>
  <si>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</si>
  <si>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</si>
  <si>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</si>
  <si>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</si>
  <si>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</si>
  <si>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</si>
  <si>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</si>
  <si>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</si>
  <si>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</si>
  <si>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</si>
  <si>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</si>
  <si>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</si>
  <si>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</si>
  <si>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</si>
  <si>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</si>
  <si>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</si>
  <si>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</si>
  <si>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</si>
  <si>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</si>
  <si>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</si>
  <si>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</si>
  <si>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</si>
  <si>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</si>
  <si>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</si>
  <si>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</si>
  <si>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</si>
  <si>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</si>
  <si>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</si>
  <si>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</si>
  <si>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</si>
  <si>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</si>
  <si>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</si>
  <si>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</si>
  <si>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</si>
  <si>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</si>
  <si>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</si>
  <si>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</si>
  <si>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</si>
  <si>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</si>
  <si>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</si>
  <si>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</si>
  <si>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</si>
  <si>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</si>
  <si>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</si>
  <si>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</si>
  <si>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</si>
  <si>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</si>
  <si>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</si>
  <si>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</si>
  <si>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</si>
  <si>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</si>
  <si>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</si>
  <si>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</si>
  <si>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</si>
  <si>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</si>
  <si>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</si>
  <si>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</si>
  <si>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</si>
  <si>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</si>
  <si>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</si>
  <si>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</si>
  <si>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</si>
  <si>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</si>
  <si>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</si>
  <si>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</si>
  <si>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</si>
  <si>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</si>
  <si>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</si>
  <si>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</si>
  <si>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</si>
  <si>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</si>
  <si>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</si>
  <si>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</si>
  <si>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</si>
  <si>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</si>
  <si>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</si>
  <si>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</si>
  <si>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</si>
  <si>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</si>
  <si>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</si>
  <si>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</si>
  <si>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</si>
  <si>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</si>
  <si>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</si>
  <si>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</si>
  <si>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</si>
  <si>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</si>
  <si>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</si>
  <si>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</si>
  <si>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</si>
  <si>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</si>
  <si>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</si>
  <si>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</si>
  <si>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</si>
  <si>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</si>
  <si>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</si>
  <si>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</si>
  <si>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</si>
  <si>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</si>
  <si>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</si>
  <si>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</si>
  <si>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</si>
  <si>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</si>
  <si>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</si>
  <si>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</si>
  <si>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</si>
  <si>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</si>
  <si>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</si>
  <si>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</si>
  <si>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</si>
  <si>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</si>
  <si>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</si>
  <si>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</si>
  <si>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</si>
  <si>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</si>
  <si>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</si>
  <si>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</si>
  <si>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</si>
  <si>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</si>
  <si>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</si>
  <si>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</si>
  <si>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</si>
  <si>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</si>
  <si>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</si>
  <si>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</si>
  <si>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</si>
  <si>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</si>
  <si>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</si>
  <si>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</si>
  <si>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</si>
  <si>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</si>
  <si>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</si>
  <si>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</si>
  <si>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</si>
  <si>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</si>
  <si>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</si>
  <si>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</si>
  <si>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</si>
  <si>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</si>
  <si>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</si>
  <si>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</si>
  <si>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</si>
  <si>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</si>
  <si>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</si>
  <si>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</si>
  <si>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</si>
  <si>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</si>
  <si>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</si>
  <si>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</si>
  <si>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</si>
  <si>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</si>
  <si>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</si>
  <si>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</si>
  <si>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</si>
  <si>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</si>
  <si>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</si>
  <si>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</si>
  <si>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</si>
  <si>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</si>
  <si>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</si>
  <si>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</si>
  <si>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</si>
  <si>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</si>
  <si>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</si>
  <si>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</si>
  <si>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</si>
  <si>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</si>
  <si>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</si>
  <si>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</si>
  <si>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</si>
  <si>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</si>
  <si>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</si>
  <si>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</si>
  <si>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</si>
  <si>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</si>
  <si>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</si>
  <si>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</si>
  <si>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</si>
  <si>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</si>
  <si>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</si>
  <si>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</si>
  <si>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</si>
  <si>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</si>
  <si>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</si>
  <si>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</si>
  <si>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</si>
  <si>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</si>
  <si>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</si>
  <si>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</si>
  <si>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</si>
  <si>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</si>
  <si>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</si>
  <si>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</si>
  <si>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</si>
  <si>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</si>
  <si>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</si>
  <si>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</si>
  <si>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</si>
  <si>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</si>
  <si>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</si>
  <si>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</si>
  <si>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</si>
  <si>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</si>
  <si>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</si>
  <si>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</si>
  <si>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</si>
  <si>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</si>
  <si>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</si>
  <si>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</si>
  <si>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</si>
  <si>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</si>
  <si>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</si>
  <si>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</si>
  <si>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</si>
  <si>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</si>
  <si>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</si>
  <si>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</si>
  <si>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</si>
  <si>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</si>
  <si>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</si>
  <si>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</si>
  <si>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</si>
  <si>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</si>
  <si>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</si>
  <si>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</si>
  <si>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</si>
  <si>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</si>
  <si>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</si>
  <si>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</si>
  <si>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</si>
  <si>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</si>
  <si>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</si>
  <si>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</si>
  <si>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</si>
  <si>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</si>
  <si>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</si>
  <si>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</si>
  <si>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</si>
  <si>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</si>
  <si>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</si>
  <si>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</si>
  <si>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</si>
  <si>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</si>
  <si>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</si>
  <si>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</si>
  <si>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</si>
  <si>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</si>
  <si>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</si>
  <si>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</si>
  <si>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</si>
  <si>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</si>
  <si>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</si>
  <si>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</si>
  <si>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</si>
  <si>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</si>
  <si>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</si>
  <si>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</si>
  <si>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</si>
  <si>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</si>
  <si>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</si>
  <si>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</si>
  <si>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</si>
  <si>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</si>
  <si>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</si>
  <si>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</si>
  <si>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</si>
  <si>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</si>
  <si>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</si>
  <si>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</si>
  <si>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</si>
  <si>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</si>
  <si>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</si>
  <si>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</si>
  <si>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</si>
  <si>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</si>
  <si>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</si>
  <si>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</si>
  <si>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</si>
  <si>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</si>
  <si>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</si>
  <si>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</si>
  <si>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</si>
  <si>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</si>
  <si>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</si>
  <si>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</si>
  <si>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</si>
  <si>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</si>
  <si>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</si>
  <si>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</si>
  <si>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</si>
  <si>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</si>
  <si>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</si>
  <si>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</si>
  <si>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</si>
  <si>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</si>
  <si>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</si>
  <si>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</si>
  <si>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</si>
  <si>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</si>
  <si>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</si>
  <si>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</si>
  <si>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</si>
  <si>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</si>
  <si>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</si>
  <si>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</si>
  <si>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</si>
  <si>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</si>
  <si>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</si>
  <si>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</si>
  <si>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</si>
  <si>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</si>
  <si>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</si>
  <si>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</si>
  <si>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</si>
  <si>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</si>
  <si>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</si>
  <si>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</si>
  <si>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</si>
  <si>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</si>
  <si>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</si>
  <si>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</si>
  <si>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</si>
  <si>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</si>
  <si>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</si>
  <si>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</si>
  <si>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</si>
  <si>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</si>
  <si>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</si>
  <si>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</si>
  <si>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</si>
  <si>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</si>
  <si>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</si>
  <si>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</si>
  <si>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</si>
  <si>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</si>
  <si>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</si>
  <si>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</si>
  <si>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</si>
  <si>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</si>
  <si>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</si>
  <si>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</si>
  <si>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</si>
  <si>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</si>
  <si>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</si>
  <si>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</si>
  <si>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</si>
  <si>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</si>
  <si>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</si>
  <si>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</si>
  <si>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</si>
  <si>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</si>
  <si>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</si>
  <si>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</si>
  <si>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</si>
  <si>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</si>
  <si>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</si>
  <si>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</si>
  <si>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</si>
  <si>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</si>
  <si>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</si>
  <si>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</si>
  <si>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</si>
  <si>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</si>
  <si>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</si>
  <si>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</si>
  <si>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</si>
  <si>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</si>
  <si>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</si>
  <si>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</si>
  <si>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</si>
  <si>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</si>
  <si>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</si>
  <si>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</si>
  <si>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</si>
  <si>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</si>
  <si>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</si>
  <si>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</si>
  <si>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</si>
  <si>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</si>
  <si>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</si>
  <si>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</si>
  <si>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</si>
  <si>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</si>
  <si>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</si>
  <si>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</si>
  <si>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</si>
  <si>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</si>
  <si>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</si>
  <si>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</si>
  <si>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</si>
  <si>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</si>
  <si>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</si>
  <si>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</si>
  <si>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</si>
  <si>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</si>
  <si>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</si>
  <si>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</si>
  <si>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</si>
  <si>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</si>
  <si>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</si>
  <si>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</si>
  <si>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</si>
  <si>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</si>
  <si>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</si>
  <si>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</si>
  <si>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</si>
  <si>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</si>
  <si>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</si>
  <si>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</si>
  <si>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</si>
  <si>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</si>
  <si>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</si>
  <si>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</si>
  <si>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</si>
  <si>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</si>
  <si>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</si>
  <si>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</si>
  <si>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</si>
  <si>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</si>
  <si>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</si>
  <si>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</si>
  <si>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</si>
  <si>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</si>
  <si>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</si>
  <si>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</si>
  <si>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</si>
  <si>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</si>
  <si>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</si>
  <si>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</si>
  <si>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</si>
  <si>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</si>
  <si>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</si>
  <si>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</si>
  <si>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</si>
  <si>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</si>
  <si>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</si>
  <si>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</si>
  <si>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</si>
  <si>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</si>
  <si>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</si>
  <si>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</si>
  <si>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</si>
  <si>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</si>
  <si>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</si>
  <si>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</si>
  <si>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</si>
  <si>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</si>
  <si>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</si>
  <si>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</si>
  <si>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</si>
  <si>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</si>
  <si>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</si>
  <si>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</si>
  <si>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</si>
  <si>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</si>
  <si>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</si>
  <si>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</si>
  <si>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</si>
  <si>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</si>
  <si>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</si>
  <si>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</si>
  <si>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</si>
  <si>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</si>
  <si>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</si>
  <si>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</si>
  <si>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</si>
  <si>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</si>
  <si>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</si>
  <si>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</si>
  <si>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</si>
  <si>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</si>
  <si>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</si>
  <si>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</si>
  <si>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</si>
  <si>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</si>
  <si>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</si>
  <si>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</si>
  <si>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</si>
  <si>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</si>
  <si>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</si>
  <si>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</si>
  <si>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</si>
  <si>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</si>
  <si>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</si>
  <si>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</si>
  <si>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</si>
  <si>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</si>
  <si>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</si>
  <si>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</si>
  <si>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</si>
  <si>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</si>
  <si>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</si>
  <si>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</si>
  <si>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</si>
  <si>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</si>
  <si>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</si>
  <si>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</si>
  <si>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</si>
  <si>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</si>
  <si>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</si>
  <si>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</si>
  <si>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</si>
  <si>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</si>
  <si>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</si>
  <si>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</si>
  <si>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</si>
  <si>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</si>
  <si>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</si>
  <si>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</si>
  <si>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</si>
  <si>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</si>
  <si>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</si>
  <si>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</si>
  <si>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</si>
  <si>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</si>
  <si>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</si>
  <si>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</si>
  <si>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</si>
  <si>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</si>
  <si>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</si>
  <si>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</si>
  <si>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</si>
  <si>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</si>
  <si>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</si>
  <si>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</si>
  <si>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</si>
  <si>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</si>
  <si>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</si>
  <si>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</si>
  <si>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</si>
  <si>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</si>
  <si>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</si>
  <si>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</si>
  <si>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</si>
  <si>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</si>
  <si>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</si>
  <si>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</si>
  <si>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</si>
  <si>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</si>
  <si>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</si>
  <si>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</si>
  <si>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</si>
  <si>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</si>
  <si>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</si>
  <si>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</si>
  <si>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</si>
  <si>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</si>
  <si>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</si>
  <si>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</si>
  <si>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</si>
  <si>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</si>
  <si>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</si>
  <si>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</si>
  <si>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</si>
  <si>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</si>
  <si>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</si>
  <si>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</si>
  <si>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</si>
  <si>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</si>
  <si>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</si>
  <si>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</si>
  <si>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</si>
  <si>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</si>
  <si>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</si>
  <si>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</si>
  <si>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</si>
  <si>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</si>
  <si>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</si>
  <si>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</si>
  <si>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</si>
  <si>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</si>
  <si>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</si>
  <si>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</si>
  <si>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</si>
  <si>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</si>
  <si>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</si>
  <si>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</si>
  <si>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</si>
  <si>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</si>
  <si>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</si>
  <si>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</si>
  <si>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</si>
  <si>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</si>
  <si>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</si>
  <si>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</si>
  <si>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</si>
  <si>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</si>
  <si>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</si>
  <si>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</si>
  <si>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</si>
  <si>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</si>
  <si>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</si>
  <si>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</si>
  <si>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</si>
  <si>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</si>
  <si>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</si>
  <si>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</si>
  <si>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</si>
  <si>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</si>
  <si>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</si>
  <si>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</si>
  <si>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</si>
  <si>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</si>
  <si>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</si>
  <si>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</si>
  <si>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</si>
  <si>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</si>
  <si>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</si>
  <si>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</si>
  <si>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</si>
  <si>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</si>
  <si>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</si>
  <si>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</si>
  <si>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</si>
  <si>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</si>
  <si>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</si>
  <si>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</si>
  <si>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</si>
  <si>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</si>
  <si>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</si>
  <si>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</si>
  <si>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</si>
  <si>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</si>
  <si>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</si>
  <si>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</si>
  <si>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</si>
  <si>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</si>
  <si>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</si>
  <si>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</si>
  <si>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</si>
  <si>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</si>
  <si>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</si>
  <si>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</si>
  <si>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</si>
  <si>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</si>
  <si>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</si>
  <si>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</si>
  <si>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</si>
  <si>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</si>
  <si>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</si>
  <si>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</si>
  <si>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</si>
  <si>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</si>
  <si>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</si>
  <si>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</si>
  <si>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</si>
  <si>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</si>
  <si>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</si>
  <si>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</si>
  <si>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</si>
  <si>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</si>
  <si>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</si>
  <si>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</si>
  <si>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</si>
  <si>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</si>
  <si>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</si>
  <si>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</si>
  <si>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</si>
  <si>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</si>
  <si>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</si>
  <si>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</si>
  <si>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</si>
  <si>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</si>
  <si>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</si>
  <si>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</si>
  <si>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</si>
  <si>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</si>
  <si>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</si>
  <si>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</si>
  <si>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</si>
  <si>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</si>
  <si>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</si>
  <si>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</si>
  <si>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</si>
  <si>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</si>
  <si>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</si>
  <si>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</si>
  <si>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</si>
  <si>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</si>
  <si>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</si>
  <si>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</si>
  <si>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</si>
  <si>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</si>
  <si>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</si>
  <si>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</si>
  <si>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</si>
  <si>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</si>
  <si>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</si>
  <si>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</si>
  <si>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</si>
  <si>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</si>
  <si>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</si>
  <si>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</si>
  <si>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</si>
  <si>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</si>
  <si>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</si>
  <si>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</si>
  <si>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</si>
  <si>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</si>
  <si>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</si>
  <si>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</si>
  <si>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</si>
  <si>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</si>
  <si>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</si>
  <si>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</si>
  <si>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</si>
  <si>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</si>
  <si>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</si>
  <si>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</si>
  <si>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</si>
  <si>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</si>
  <si>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</si>
  <si>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</si>
  <si>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</si>
  <si>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</si>
  <si>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</si>
  <si>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</si>
  <si>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</si>
  <si>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</si>
  <si>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</si>
  <si>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</si>
  <si>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</si>
  <si>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</si>
  <si>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</si>
  <si>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</si>
  <si>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</si>
  <si>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</si>
  <si>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</si>
  <si>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</si>
  <si>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</si>
  <si>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</si>
  <si>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</si>
  <si>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</si>
  <si>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</si>
  <si>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</si>
  <si>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</si>
  <si>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</si>
  <si>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</si>
  <si>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</si>
  <si>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</si>
  <si>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</si>
  <si>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</si>
  <si>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</si>
  <si>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</si>
  <si>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</si>
  <si>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</si>
  <si>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</si>
  <si>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</si>
  <si>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</si>
  <si>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</si>
  <si>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</si>
  <si>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</si>
  <si>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</si>
  <si>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</si>
  <si>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</si>
  <si>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</si>
  <si>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</si>
  <si>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</si>
  <si>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</si>
  <si>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</si>
  <si>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</si>
  <si>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</si>
  <si>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</si>
  <si>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</si>
  <si>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</si>
  <si>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</si>
  <si>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</si>
  <si>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</si>
  <si>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</si>
  <si>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</si>
  <si>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</si>
  <si>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</si>
  <si>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</si>
  <si>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</si>
  <si>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</si>
  <si>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</si>
  <si>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</si>
  <si>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</si>
  <si>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</si>
  <si>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</si>
  <si>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</si>
  <si>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</si>
  <si>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</si>
  <si>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</si>
  <si>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</si>
  <si>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</si>
  <si>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</si>
  <si>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</si>
  <si>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</si>
  <si>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</si>
  <si>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</si>
  <si>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</si>
  <si>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</si>
  <si>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</si>
  <si>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</si>
  <si>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</si>
  <si>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</si>
  <si>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</si>
  <si>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</si>
  <si>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</si>
  <si>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</si>
  <si>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</si>
  <si>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</si>
  <si>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</si>
  <si>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</si>
  <si>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</si>
  <si>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</si>
  <si>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</si>
  <si>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</si>
  <si>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</si>
  <si>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</si>
  <si>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</si>
  <si>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</si>
  <si>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</si>
  <si>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</si>
  <si>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</si>
  <si>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</si>
  <si>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</si>
  <si>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</si>
  <si>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</si>
  <si>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</si>
  <si>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</si>
  <si>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</si>
  <si>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</si>
  <si>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</si>
  <si>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</si>
  <si>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</si>
  <si>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</si>
  <si>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</si>
  <si>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</si>
  <si>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</si>
  <si>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</si>
  <si>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</si>
  <si>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</si>
  <si>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</si>
  <si>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</si>
  <si>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</si>
  <si>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</si>
  <si>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</si>
  <si>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</si>
  <si>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</si>
  <si>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</si>
  <si>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</si>
  <si>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</si>
  <si>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</si>
  <si>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</si>
  <si>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</si>
  <si>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</si>
  <si>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</si>
  <si>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</si>
  <si>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</si>
  <si>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</si>
  <si>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</si>
  <si>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</si>
  <si>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</si>
  <si>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</si>
  <si>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</si>
  <si>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</si>
  <si>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</si>
  <si>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</si>
  <si>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</si>
  <si>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</si>
  <si>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</si>
  <si>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</si>
  <si>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</si>
  <si>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</si>
  <si>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</si>
  <si>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</si>
  <si>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</si>
  <si>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</si>
  <si>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</si>
  <si>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</si>
  <si>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</si>
  <si>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</si>
  <si>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</si>
  <si>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</si>
  <si>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</si>
  <si>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</si>
  <si>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</si>
  <si>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</si>
  <si>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</si>
  <si>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</si>
  <si>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</si>
  <si>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</si>
  <si>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</si>
  <si>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</si>
  <si>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</si>
  <si>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</si>
  <si>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</si>
  <si>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</si>
  <si>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</si>
  <si>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</si>
  <si>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</si>
  <si>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</si>
  <si>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</si>
  <si>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</si>
  <si>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</si>
  <si>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</si>
  <si>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</si>
  <si>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</si>
  <si>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</si>
  <si>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</si>
  <si>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</si>
  <si>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</si>
  <si>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</si>
  <si>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</si>
  <si>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</si>
  <si>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</si>
  <si>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</si>
  <si>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</si>
  <si>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</si>
  <si>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</si>
  <si>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</si>
  <si>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</si>
  <si>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</si>
  <si>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</si>
  <si>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</si>
  <si>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</si>
  <si>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</si>
  <si>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</si>
  <si>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</si>
  <si>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</si>
  <si>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</si>
  <si>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</si>
  <si>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</si>
  <si>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</si>
  <si>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</si>
  <si>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</si>
  <si>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</si>
  <si>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</si>
  <si>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</si>
  <si>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</si>
  <si>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</si>
  <si>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</si>
  <si>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</si>
  <si>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</si>
  <si>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</si>
  <si>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</si>
  <si>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</si>
  <si>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</si>
  <si>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</si>
  <si>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</si>
  <si>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</si>
  <si>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</si>
  <si>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</si>
  <si>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</si>
  <si>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</si>
  <si>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</si>
  <si>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</si>
  <si>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</si>
  <si>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</si>
  <si>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</si>
  <si>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</si>
  <si>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</si>
  <si>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</si>
  <si>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</si>
  <si>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</si>
  <si>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</si>
  <si>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</si>
  <si>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</si>
  <si>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</si>
  <si>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</si>
  <si>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</si>
  <si>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</si>
  <si>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</si>
  <si>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</si>
  <si>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</si>
  <si>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</si>
  <si>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</si>
  <si>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</si>
  <si>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</si>
  <si>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</si>
  <si>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</si>
  <si>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</si>
  <si>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</si>
  <si>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</si>
  <si>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</si>
  <si>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</si>
  <si>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</si>
  <si>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</si>
  <si>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</si>
  <si>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</si>
  <si>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</si>
  <si>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</si>
  <si>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</si>
  <si>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</si>
  <si>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</si>
  <si>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</si>
  <si>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</si>
  <si>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</si>
  <si>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</si>
  <si>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</si>
  <si>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</si>
  <si>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</si>
  <si>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</si>
  <si>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</si>
  <si>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</si>
  <si>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</si>
  <si>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</si>
  <si>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</si>
  <si>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</si>
  <si>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</si>
  <si>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</si>
  <si>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</si>
  <si>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</si>
  <si>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</si>
  <si>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</si>
  <si>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</si>
  <si>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</si>
  <si>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</si>
  <si>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</si>
  <si>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</si>
  <si>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</si>
  <si>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</si>
  <si>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</si>
  <si>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</si>
  <si>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</si>
  <si>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</si>
  <si>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</si>
  <si>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</si>
  <si>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</si>
  <si>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</si>
  <si>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</si>
  <si>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</si>
  <si>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</si>
  <si>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</si>
  <si>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</si>
  <si>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</si>
  <si>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</si>
  <si>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</si>
  <si>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</si>
  <si>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</si>
  <si>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</si>
  <si>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</si>
  <si>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</si>
  <si>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</si>
  <si>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</si>
  <si>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</si>
  <si>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</si>
  <si>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</si>
  <si>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</si>
  <si>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</si>
  <si>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</si>
  <si>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</si>
  <si>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</si>
  <si>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</si>
  <si>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</si>
  <si>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</si>
  <si>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</si>
  <si>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</si>
  <si>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</si>
  <si>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</si>
  <si>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</si>
  <si>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</si>
  <si>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</si>
  <si>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</si>
  <si>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</si>
  <si>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</si>
  <si>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</si>
  <si>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</si>
  <si>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</si>
  <si>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</si>
  <si>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</si>
  <si>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</si>
  <si>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</si>
  <si>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</si>
  <si>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</si>
  <si>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</si>
  <si>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</si>
  <si>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</si>
  <si>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</si>
  <si>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</si>
  <si>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</si>
  <si>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</si>
  <si>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</si>
  <si>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</si>
  <si>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</si>
  <si>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</si>
  <si>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</si>
  <si>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</si>
  <si>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</si>
  <si>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</si>
  <si>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</si>
  <si>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</si>
  <si>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</si>
  <si>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</si>
  <si>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</si>
  <si>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</si>
  <si>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</si>
  <si>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</si>
  <si>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</si>
  <si>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</si>
  <si>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</si>
  <si>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</si>
  <si>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</si>
  <si>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</si>
  <si>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</si>
  <si>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</si>
  <si>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</si>
  <si>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</si>
  <si>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</si>
  <si>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</si>
  <si>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</si>
  <si>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</si>
  <si>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</si>
  <si>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</si>
  <si>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</si>
  <si>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</si>
  <si>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</si>
  <si>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</si>
  <si>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</si>
  <si>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</si>
  <si>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</si>
  <si>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</si>
  <si>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</si>
  <si>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</si>
  <si>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</si>
  <si>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</si>
  <si>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</si>
  <si>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</si>
  <si>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</si>
  <si>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</si>
  <si>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</si>
  <si>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</si>
  <si>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</si>
  <si>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</si>
  <si>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</si>
  <si>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</si>
  <si>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</si>
  <si>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</si>
  <si>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</si>
  <si>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</si>
  <si>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</si>
  <si>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</si>
  <si>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</si>
  <si>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</si>
  <si>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</si>
  <si>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</si>
  <si>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</si>
  <si>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</si>
  <si>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</si>
  <si>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</si>
  <si>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</si>
  <si>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</si>
  <si>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</si>
  <si>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</si>
  <si>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</si>
  <si>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</si>
  <si>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</si>
  <si>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</si>
  <si>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</si>
  <si>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</si>
  <si>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</si>
  <si>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</si>
  <si>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</si>
  <si>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</si>
  <si>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</si>
  <si>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</si>
  <si>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</si>
  <si>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</si>
  <si>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</si>
  <si>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</si>
  <si>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</si>
  <si>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</si>
  <si>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</si>
  <si>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</si>
  <si>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</si>
  <si>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</si>
  <si>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</si>
  <si>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</si>
  <si>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</si>
  <si>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</si>
  <si>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</si>
  <si>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</si>
  <si>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</si>
  <si>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</si>
  <si>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</si>
  <si>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</si>
  <si>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</si>
  <si>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</si>
  <si>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</si>
  <si>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</si>
  <si>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</si>
  <si>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</si>
  <si>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</si>
  <si>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</si>
  <si>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</si>
  <si>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</si>
  <si>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</si>
  <si>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</si>
  <si>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</si>
  <si>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</si>
  <si>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</si>
  <si>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</si>
  <si>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</si>
  <si>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</si>
  <si>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</si>
  <si>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</si>
  <si>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</si>
  <si>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</si>
  <si>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</si>
  <si>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</si>
  <si>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</si>
  <si>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</si>
  <si>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</si>
  <si>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</si>
  <si>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</si>
  <si>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</si>
  <si>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</si>
  <si>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</si>
  <si>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</si>
  <si>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</si>
  <si>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</si>
  <si>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</si>
  <si>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</si>
  <si>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</si>
  <si>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</si>
  <si>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</si>
  <si>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</si>
  <si>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</si>
  <si>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</si>
  <si>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</si>
  <si>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</si>
  <si>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</si>
  <si>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</si>
  <si>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</si>
  <si>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</si>
  <si>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</si>
  <si>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</si>
  <si>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</si>
  <si>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</si>
  <si>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</si>
  <si>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</si>
  <si>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</si>
  <si>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</si>
  <si>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</si>
  <si>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</si>
  <si>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</si>
  <si>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</si>
  <si>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</si>
  <si>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</si>
  <si>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</si>
  <si>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</si>
  <si>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</si>
  <si>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</si>
  <si>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</si>
  <si>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</si>
  <si>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</si>
  <si>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</si>
  <si>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</si>
  <si>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</si>
  <si>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</si>
  <si>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</si>
  <si>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</si>
  <si>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</si>
  <si>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</si>
  <si>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</si>
  <si>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</si>
  <si>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</si>
  <si>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</si>
  <si>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</si>
  <si>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</si>
  <si>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</si>
  <si>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</si>
  <si>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</si>
  <si>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</si>
  <si>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</si>
  <si>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</si>
  <si>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</si>
  <si>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</si>
  <si>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</si>
  <si>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</si>
  <si>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</si>
  <si>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</si>
  <si>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</si>
  <si>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</si>
  <si>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</si>
  <si>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</si>
  <si>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</si>
  <si>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</si>
  <si>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</si>
  <si>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</si>
  <si>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</si>
  <si>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</si>
  <si>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</si>
  <si>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</si>
  <si>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</si>
  <si>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</si>
  <si>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</si>
  <si>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</si>
  <si>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</si>
  <si>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</si>
  <si>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</si>
  <si>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</si>
  <si>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</si>
  <si>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</si>
  <si>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</si>
  <si>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</si>
  <si>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</si>
  <si>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</si>
  <si>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</si>
  <si>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</si>
  <si>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</si>
  <si>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</si>
  <si>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</si>
  <si>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</si>
  <si>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</si>
  <si>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</si>
  <si>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</si>
  <si>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</si>
  <si>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</si>
  <si>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</si>
  <si>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</si>
  <si>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</si>
  <si>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</si>
  <si>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</si>
  <si>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</si>
  <si>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</si>
  <si>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</si>
  <si>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</si>
  <si>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</si>
  <si>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</si>
  <si>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</si>
  <si>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</si>
  <si>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</si>
  <si>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</si>
  <si>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</si>
  <si>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</si>
  <si>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</si>
  <si>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</si>
  <si>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</si>
  <si>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</si>
  <si>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</si>
  <si>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</si>
  <si>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</si>
  <si>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</si>
  <si>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</si>
  <si>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</si>
  <si>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</si>
  <si>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</si>
  <si>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</si>
  <si>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</si>
  <si>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</si>
  <si>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</si>
  <si>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</si>
  <si>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</si>
  <si>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</si>
  <si>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</si>
  <si>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</si>
  <si>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</si>
  <si>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</si>
  <si>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</si>
  <si>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</si>
  <si>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</si>
  <si>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</si>
  <si>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</si>
  <si>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</si>
  <si>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</si>
  <si>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</si>
  <si>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</si>
  <si>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</si>
  <si>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</si>
  <si>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</si>
  <si>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</si>
  <si>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</si>
  <si>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</si>
  <si>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</si>
  <si>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</si>
  <si>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</si>
  <si>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</si>
  <si>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</si>
  <si>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</si>
  <si>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</si>
  <si>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</si>
  <si>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</si>
  <si>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</si>
  <si>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</si>
  <si>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</si>
  <si>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</si>
  <si>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</si>
  <si>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</si>
  <si>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</si>
  <si>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</si>
  <si>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</si>
  <si>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</si>
  <si>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</si>
  <si>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</si>
  <si>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</si>
  <si>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</si>
  <si>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</si>
  <si>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</si>
  <si>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</si>
  <si>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</si>
  <si>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</si>
  <si>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</si>
  <si>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</si>
  <si>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</si>
  <si>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</si>
  <si>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</si>
  <si>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</si>
  <si>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</si>
  <si>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</si>
  <si>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</si>
  <si>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</si>
  <si>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</si>
  <si>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</si>
  <si>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</si>
  <si>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</si>
  <si>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</si>
  <si>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</si>
  <si>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</si>
  <si>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</si>
  <si>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</si>
  <si>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</si>
  <si>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</si>
  <si>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</si>
  <si>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</si>
  <si>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</si>
  <si>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</si>
  <si>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</si>
  <si>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</si>
  <si>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</si>
  <si>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</si>
  <si>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</si>
  <si>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</si>
  <si>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</si>
  <si>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</si>
  <si>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</si>
  <si>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</si>
  <si>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</si>
  <si>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</si>
  <si>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</si>
  <si>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</si>
  <si>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</si>
  <si>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</si>
  <si>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</si>
  <si>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</si>
  <si>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</si>
  <si>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</si>
  <si>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</si>
  <si>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</si>
  <si>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</si>
  <si>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</si>
  <si>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</si>
  <si>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</si>
  <si>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</si>
  <si>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</si>
  <si>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</si>
  <si>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</si>
  <si>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</si>
  <si>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</si>
  <si>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</si>
  <si>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</si>
  <si>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</si>
  <si>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</si>
  <si>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</si>
  <si>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</si>
  <si>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</si>
  <si>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</si>
  <si>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</si>
  <si>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</si>
  <si>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</si>
  <si>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</si>
  <si>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</si>
  <si>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</si>
  <si>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</si>
  <si>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</si>
  <si>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</si>
  <si>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</si>
  <si>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</si>
  <si>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</si>
  <si>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</si>
  <si>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</si>
  <si>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</si>
  <si>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</si>
  <si>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</si>
  <si>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</si>
  <si>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</si>
  <si>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</si>
  <si>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</si>
  <si>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</si>
  <si>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</si>
  <si>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</si>
  <si>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</si>
  <si>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</si>
  <si>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</si>
  <si>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</si>
  <si>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</si>
  <si>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</si>
  <si>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</si>
  <si>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</si>
  <si>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</si>
  <si>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</si>
  <si>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</si>
  <si>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</si>
  <si>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</si>
  <si>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</si>
  <si>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</si>
  <si>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</si>
  <si>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</si>
  <si>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</si>
  <si>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</si>
  <si>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</si>
  <si>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</si>
  <si>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</si>
  <si>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</si>
  <si>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</si>
  <si>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</si>
  <si>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</si>
  <si>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</si>
  <si>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</si>
  <si>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</si>
  <si>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</si>
  <si>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</si>
  <si>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</si>
  <si>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</si>
  <si>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</si>
  <si>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</si>
  <si>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</si>
  <si>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</si>
  <si>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</si>
  <si>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</si>
  <si>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</si>
  <si>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</si>
  <si>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</si>
  <si>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</si>
  <si>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</si>
  <si>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</si>
  <si>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</si>
  <si>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</si>
  <si>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</si>
  <si>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</si>
  <si>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</si>
  <si>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</si>
  <si>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</si>
  <si>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</si>
  <si>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</si>
  <si>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</si>
  <si>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</si>
  <si>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</si>
  <si>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</si>
  <si>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</si>
  <si>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</si>
  <si>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</si>
  <si>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</si>
  <si>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</si>
  <si>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</si>
  <si>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</si>
  <si>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</si>
  <si>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</si>
  <si>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</si>
  <si>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</si>
  <si>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</si>
  <si>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</si>
  <si>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</si>
  <si>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</si>
  <si>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</si>
  <si>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</si>
  <si>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</si>
  <si>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</si>
  <si>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</si>
  <si>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</si>
  <si>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</si>
  <si>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</si>
  <si>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</si>
  <si>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</si>
  <si>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</si>
  <si>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</si>
  <si>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</si>
  <si>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</si>
  <si>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</si>
  <si>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</si>
  <si>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</si>
  <si>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</si>
  <si>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</si>
  <si>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</si>
  <si>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</si>
  <si>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</si>
  <si>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</si>
  <si>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</si>
  <si>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</si>
  <si>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</si>
  <si>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</si>
  <si>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</si>
  <si>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</si>
  <si>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</si>
  <si>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</si>
  <si>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</si>
  <si>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</si>
  <si>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</si>
  <si>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</si>
  <si>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</si>
  <si>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</si>
  <si>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</si>
  <si>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</si>
  <si>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</si>
  <si>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</si>
  <si>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</si>
  <si>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</si>
  <si>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</si>
  <si>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</si>
  <si>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</si>
  <si>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</si>
  <si>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</si>
  <si>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</si>
  <si>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</si>
  <si>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</si>
  <si>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</si>
  <si>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</si>
  <si>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</si>
  <si>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</si>
  <si>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</si>
  <si>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</si>
  <si>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</si>
  <si>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</si>
  <si>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</si>
  <si>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</si>
  <si>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</si>
  <si>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</si>
  <si>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</si>
  <si>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</si>
  <si>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</si>
  <si>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</si>
  <si>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</si>
  <si>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</si>
  <si>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</si>
  <si>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</si>
  <si>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</si>
  <si>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</si>
  <si>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</si>
  <si>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</si>
  <si>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</si>
  <si>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</si>
  <si>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</si>
  <si>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</si>
  <si>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</si>
  <si>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</si>
  <si>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</si>
  <si>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</si>
  <si>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</si>
  <si>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</si>
  <si>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</si>
  <si>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</si>
  <si>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</si>
  <si>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</si>
  <si>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</si>
  <si>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</si>
  <si>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</si>
  <si>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</si>
  <si>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</si>
  <si>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</si>
  <si>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</si>
  <si>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</si>
  <si>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</si>
  <si>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</si>
  <si>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</si>
  <si>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</si>
  <si>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</si>
  <si>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</si>
  <si>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</si>
  <si>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</si>
  <si>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</si>
  <si>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</si>
  <si>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</si>
  <si>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</si>
  <si>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</si>
  <si>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</si>
  <si>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</si>
  <si>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</si>
  <si>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</si>
  <si>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</si>
  <si>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</si>
  <si>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</si>
  <si>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</si>
  <si>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</si>
  <si>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</si>
  <si>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</si>
  <si>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</si>
  <si>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</si>
  <si>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</si>
  <si>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</si>
  <si>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</si>
  <si>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</si>
  <si>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</si>
  <si>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</si>
  <si>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</si>
  <si>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</si>
  <si>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</si>
  <si>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</si>
  <si>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</si>
  <si>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</si>
  <si>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</si>
  <si>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</si>
  <si>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</si>
  <si>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</si>
  <si>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</si>
  <si>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</si>
  <si>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</si>
  <si>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</si>
  <si>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</si>
  <si>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</si>
  <si>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</si>
  <si>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</si>
  <si>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</si>
  <si>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</si>
  <si>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</si>
  <si>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</si>
  <si>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</si>
  <si>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</si>
  <si>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</si>
  <si>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</si>
  <si>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</si>
  <si>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</si>
  <si>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</si>
  <si>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</si>
  <si>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</si>
  <si>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</si>
  <si>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</si>
  <si>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</si>
  <si>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</si>
  <si>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</si>
  <si>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</si>
  <si>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</si>
  <si>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</si>
  <si>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</si>
  <si>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</si>
  <si>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</si>
  <si>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</si>
  <si>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</si>
  <si>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</si>
  <si>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</si>
  <si>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</si>
  <si>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</si>
  <si>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</si>
  <si>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</si>
  <si>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</si>
  <si>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</si>
  <si>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</si>
  <si>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</si>
  <si>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</si>
  <si>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</si>
  <si>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</si>
  <si>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</si>
  <si>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</si>
  <si>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</si>
  <si>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</si>
  <si>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</si>
  <si>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</si>
  <si>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</si>
  <si>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</si>
  <si>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</si>
  <si>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</si>
  <si>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</si>
  <si>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</si>
  <si>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</si>
  <si>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</si>
  <si>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</si>
  <si>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</si>
  <si>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</si>
  <si>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</si>
  <si>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</si>
  <si>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</si>
  <si>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</si>
  <si>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</si>
  <si>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</si>
  <si>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</si>
  <si>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</si>
  <si>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</si>
  <si>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</si>
  <si>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</si>
  <si>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</si>
  <si>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</si>
  <si>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</si>
  <si>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</si>
  <si>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</si>
  <si>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</si>
  <si>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</si>
  <si>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</si>
  <si>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</si>
  <si>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</si>
  <si>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</si>
  <si>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</si>
  <si>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</si>
  <si>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</si>
  <si>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</si>
  <si>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</si>
  <si>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</si>
  <si>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</si>
  <si>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</si>
  <si>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</si>
  <si>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</si>
  <si>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</si>
  <si>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</si>
  <si>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</si>
  <si>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</si>
  <si>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</si>
  <si>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</si>
  <si>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</si>
  <si>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</si>
  <si>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</si>
  <si>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</si>
  <si>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</si>
  <si>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</si>
  <si>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</si>
  <si>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</si>
  <si>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</si>
  <si>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</si>
  <si>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</si>
  <si>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</si>
  <si>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</si>
  <si>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</si>
  <si>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</si>
  <si>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</si>
  <si>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</si>
  <si>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</si>
  <si>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</si>
  <si>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</si>
  <si>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</si>
  <si>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</si>
  <si>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</si>
  <si>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</si>
  <si>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</si>
  <si>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</si>
  <si>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</si>
  <si>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</si>
  <si>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</si>
  <si>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</si>
  <si>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</si>
  <si>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</si>
  <si>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</si>
  <si>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</si>
  <si>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</si>
  <si>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</si>
  <si>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</si>
  <si>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</si>
  <si>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</si>
  <si>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</si>
  <si>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</si>
  <si>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</si>
  <si>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</si>
  <si>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</si>
  <si>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</si>
  <si>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</si>
  <si>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</si>
  <si>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</si>
  <si>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</si>
  <si>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</si>
  <si>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</si>
  <si>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</si>
  <si>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</si>
  <si>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</si>
  <si>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</si>
  <si>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</si>
  <si>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</si>
  <si>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</si>
  <si>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</si>
  <si>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</si>
  <si>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</si>
  <si>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</si>
  <si>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</si>
  <si>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</si>
  <si>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</si>
  <si>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</si>
  <si>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</si>
  <si>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</si>
  <si>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</si>
  <si>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</si>
  <si>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</si>
  <si>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</si>
  <si>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</si>
  <si>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</si>
  <si>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</si>
  <si>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</si>
  <si>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</si>
  <si>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</si>
  <si>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</si>
  <si>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</si>
  <si>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</si>
  <si>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</si>
  <si>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</si>
  <si>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</si>
  <si>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</si>
  <si>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</si>
  <si>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</si>
  <si>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</si>
  <si>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</si>
  <si>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</si>
  <si>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</si>
  <si>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</si>
  <si>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</si>
  <si>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</si>
  <si>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</si>
  <si>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</si>
  <si>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</si>
  <si>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</si>
  <si>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</si>
  <si>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</si>
  <si>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</si>
  <si>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</si>
  <si>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</si>
  <si>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</si>
  <si>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</si>
  <si>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</si>
  <si>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</si>
  <si>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</si>
  <si>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</si>
  <si>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</si>
  <si>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</si>
  <si>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</si>
  <si>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</si>
  <si>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</si>
  <si>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</si>
  <si>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</si>
  <si>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</si>
  <si>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</si>
  <si>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</si>
  <si>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</si>
  <si>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</si>
  <si>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</si>
  <si>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</si>
  <si>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</si>
  <si>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</si>
  <si>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</si>
  <si>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</si>
  <si>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</si>
  <si>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</si>
  <si>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</si>
  <si>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</si>
  <si>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</si>
  <si>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</si>
  <si>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</si>
  <si>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</si>
  <si>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</si>
  <si>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</si>
  <si>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</si>
  <si>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</si>
  <si>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</si>
  <si>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</si>
  <si>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</si>
  <si>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</si>
  <si>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</si>
  <si>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</si>
  <si>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</si>
  <si>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</si>
  <si>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</si>
  <si>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</si>
  <si>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</si>
  <si>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</si>
  <si>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</si>
  <si>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</si>
  <si>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</si>
  <si>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</si>
  <si>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</si>
  <si>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</si>
  <si>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</si>
  <si>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</si>
  <si>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</si>
  <si>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</si>
  <si>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</si>
  <si>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</si>
  <si>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</si>
  <si>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</si>
  <si>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</si>
  <si>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</si>
  <si>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</si>
  <si>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</si>
  <si>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</si>
  <si>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</si>
  <si>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</si>
  <si>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</si>
  <si>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</si>
  <si>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</si>
  <si>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</si>
  <si>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</si>
  <si>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</si>
  <si>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</si>
  <si>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</si>
  <si>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</si>
  <si>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</si>
  <si>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</si>
  <si>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</si>
  <si>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</si>
  <si>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</si>
  <si>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</si>
  <si>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</si>
  <si>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</si>
  <si>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</si>
  <si>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</si>
  <si>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</si>
  <si>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</si>
  <si>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</si>
  <si>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</si>
  <si>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</si>
  <si>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</si>
  <si>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</si>
  <si>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</si>
  <si>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</si>
  <si>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</si>
  <si>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</si>
  <si>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</si>
  <si>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</si>
  <si>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</si>
  <si>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</si>
  <si>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</si>
  <si>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</si>
  <si>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</si>
  <si>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</si>
  <si>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</si>
  <si>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</si>
  <si>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</si>
  <si>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</si>
  <si>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</si>
  <si>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</si>
  <si>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</si>
  <si>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</si>
  <si>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</si>
  <si>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</si>
  <si>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</si>
  <si>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</si>
  <si>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</si>
  <si>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</si>
  <si>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</si>
  <si>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</si>
  <si>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</si>
  <si>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</si>
  <si>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</si>
  <si>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</si>
  <si>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</si>
  <si>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</si>
  <si>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</si>
  <si>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</si>
  <si>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</si>
  <si>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</si>
  <si>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</si>
  <si>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</si>
  <si>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</si>
  <si>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</si>
  <si>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</si>
  <si>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</si>
  <si>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</si>
  <si>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</si>
  <si>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</si>
  <si>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</si>
  <si>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</si>
  <si>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</si>
  <si>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</si>
  <si>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</si>
  <si>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</si>
  <si>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</si>
  <si>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</si>
  <si>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</si>
  <si>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</si>
  <si>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</si>
  <si>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</si>
  <si>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</si>
  <si>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</si>
  <si>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</si>
  <si>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</si>
  <si>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</si>
  <si>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</si>
  <si>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</si>
  <si>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</si>
  <si>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</si>
  <si>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</si>
  <si>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</si>
  <si>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</si>
  <si>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</si>
  <si>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</si>
  <si>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</si>
  <si>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</si>
  <si>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</si>
  <si>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</si>
  <si>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</si>
  <si>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</si>
  <si>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</si>
  <si>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</si>
  <si>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</si>
  <si>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</si>
  <si>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</si>
  <si>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</si>
  <si>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</si>
  <si>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</si>
  <si>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</si>
  <si>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</si>
  <si>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</si>
  <si>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</si>
  <si>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</si>
  <si>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</si>
  <si>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</si>
  <si>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</si>
  <si>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</si>
  <si>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</si>
  <si>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</si>
  <si>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</si>
  <si>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</si>
  <si>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</si>
  <si>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</si>
  <si>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</si>
  <si>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</si>
  <si>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</si>
  <si>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</si>
  <si>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</si>
  <si>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</si>
  <si>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</si>
  <si>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</si>
  <si>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</si>
  <si>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</si>
  <si>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</si>
  <si>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</si>
  <si>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</si>
  <si>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</si>
  <si>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</si>
  <si>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</si>
  <si>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</si>
  <si>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</si>
  <si>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</si>
  <si>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</si>
  <si>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</si>
  <si>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</si>
  <si>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</si>
  <si>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</si>
  <si>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</si>
  <si>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</si>
  <si>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</si>
  <si>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</si>
  <si>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</si>
  <si>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</si>
  <si>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</si>
  <si>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</si>
  <si>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</si>
  <si>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</si>
  <si>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</si>
  <si>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</si>
  <si>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</si>
  <si>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</si>
  <si>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</si>
  <si>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</si>
  <si>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</si>
  <si>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</si>
  <si>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</si>
  <si>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</si>
  <si>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</si>
  <si>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</si>
  <si>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</si>
  <si>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</si>
  <si>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</si>
  <si>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</si>
  <si>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</si>
  <si>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</si>
  <si>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</si>
  <si>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</si>
  <si>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</si>
  <si>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</si>
  <si>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</si>
  <si>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</si>
  <si>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</si>
  <si>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</si>
  <si>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</si>
  <si>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</si>
  <si>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</si>
  <si>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</si>
  <si>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</si>
  <si>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</si>
  <si>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</si>
  <si>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</si>
  <si>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</si>
  <si>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</si>
  <si>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</si>
  <si>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</si>
  <si>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</si>
  <si>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</si>
  <si>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</si>
  <si>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</si>
  <si>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</si>
  <si>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</si>
  <si>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</si>
  <si>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</si>
  <si>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</si>
  <si>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</si>
  <si>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</si>
  <si>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</si>
  <si>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</si>
  <si>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</si>
  <si>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</si>
  <si>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</si>
  <si>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</si>
  <si>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</si>
  <si>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</si>
  <si>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</si>
  <si>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</si>
  <si>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</si>
  <si>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</si>
  <si>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</si>
  <si>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</si>
  <si>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</si>
  <si>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</si>
  <si>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</si>
  <si>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</si>
  <si>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</si>
  <si>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</si>
  <si>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</si>
  <si>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</si>
  <si>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</si>
  <si>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</si>
  <si>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</si>
  <si>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</si>
  <si>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</si>
  <si>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</si>
  <si>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</si>
  <si>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</si>
  <si>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</si>
  <si>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</si>
  <si>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</si>
  <si>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</si>
  <si>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</si>
  <si>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</si>
  <si>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</si>
  <si>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</si>
  <si>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</si>
  <si>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</si>
  <si>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</si>
  <si>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</si>
  <si>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</si>
  <si>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</si>
  <si>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</si>
  <si>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</si>
  <si>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</si>
  <si>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</si>
  <si>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</si>
  <si>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</si>
  <si>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</si>
  <si>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</si>
  <si>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</si>
  <si>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</si>
  <si>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</si>
  <si>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</si>
  <si>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</si>
  <si>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</si>
  <si>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</si>
  <si>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</si>
  <si>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</si>
  <si>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</si>
  <si>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</si>
  <si>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</si>
  <si>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</si>
  <si>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</si>
  <si>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</si>
  <si>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</si>
  <si>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</si>
  <si>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</si>
  <si>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</si>
  <si>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</si>
  <si>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</si>
  <si>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</si>
  <si>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</si>
  <si>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</si>
  <si>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</si>
  <si>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</si>
  <si>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</si>
  <si>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</si>
  <si>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</si>
  <si>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</si>
  <si>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</si>
  <si>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</si>
  <si>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</si>
  <si>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</si>
  <si>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</si>
  <si>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</si>
  <si>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</si>
  <si>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</si>
  <si>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</si>
  <si>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</si>
  <si>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</si>
  <si>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</si>
  <si>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</si>
  <si>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</si>
  <si>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</si>
  <si>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</si>
  <si>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</si>
  <si>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</si>
  <si>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</si>
  <si>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</si>
  <si>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</si>
  <si>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</si>
  <si>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</si>
  <si>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</si>
  <si>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</si>
  <si>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</si>
  <si>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</si>
  <si>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</si>
  <si>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</si>
  <si>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</si>
  <si>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</si>
  <si>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</si>
  <si>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</si>
  <si>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</si>
  <si>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</si>
  <si>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</si>
  <si>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</si>
  <si>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</si>
  <si>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</si>
  <si>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</si>
  <si>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</si>
  <si>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</si>
  <si>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</si>
  <si>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</si>
  <si>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</si>
  <si>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</si>
  <si>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</si>
  <si>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</si>
  <si>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</si>
  <si>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</si>
  <si>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</si>
  <si>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</si>
  <si>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</si>
  <si>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</si>
  <si>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</si>
  <si>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</si>
  <si>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</si>
  <si>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</si>
  <si>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</si>
  <si>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</si>
  <si>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</si>
  <si>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</si>
  <si>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</si>
  <si>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</si>
  <si>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</si>
  <si>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</si>
  <si>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</si>
  <si>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</si>
  <si>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</si>
  <si>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</si>
  <si>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</si>
  <si>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</si>
  <si>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</si>
  <si>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</si>
  <si>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</si>
  <si>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</si>
  <si>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</si>
  <si>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</si>
  <si>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</si>
  <si>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</si>
  <si>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</si>
  <si>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</si>
  <si>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</si>
  <si>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</si>
  <si>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</si>
  <si>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</si>
  <si>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</si>
  <si>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</si>
  <si>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</si>
  <si>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</si>
  <si>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</si>
  <si>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</si>
  <si>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</si>
  <si>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</si>
  <si>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</si>
  <si>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</si>
  <si>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</si>
  <si>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</si>
  <si>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</si>
  <si>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</si>
  <si>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</si>
  <si>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</si>
  <si>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</si>
  <si>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</si>
  <si>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</si>
  <si>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</si>
  <si>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</si>
  <si>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</si>
  <si>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</si>
  <si>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</si>
  <si>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</si>
  <si>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</si>
  <si>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</si>
  <si>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</si>
  <si>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</si>
  <si>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</si>
  <si>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</si>
  <si>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</si>
  <si>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</si>
  <si>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</si>
  <si>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</si>
  <si>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</si>
  <si>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</si>
  <si>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</si>
  <si>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</si>
  <si>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</si>
  <si>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</si>
  <si>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</si>
  <si>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</si>
  <si>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</si>
  <si>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</si>
  <si>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</si>
  <si>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</si>
  <si>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</si>
  <si>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</si>
  <si>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</si>
  <si>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</si>
  <si>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</si>
  <si>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</si>
  <si>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</si>
  <si>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</si>
  <si>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</si>
  <si>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</si>
  <si>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</si>
  <si>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</si>
  <si>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</si>
  <si>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</si>
  <si>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</si>
  <si>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</si>
  <si>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</si>
  <si>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</si>
  <si>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</si>
  <si>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</si>
  <si>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</si>
  <si>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</si>
  <si>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</si>
  <si>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</si>
  <si>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</si>
  <si>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</si>
  <si>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</si>
  <si>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</si>
  <si>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</si>
  <si>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</si>
  <si>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</si>
  <si>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</si>
  <si>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</si>
  <si>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</si>
  <si>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</si>
  <si>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</si>
  <si>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</si>
  <si>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</si>
  <si>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</si>
  <si>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</si>
  <si>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</si>
  <si>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</si>
  <si>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</si>
  <si>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</si>
  <si>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</si>
  <si>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</si>
  <si>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</si>
  <si>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</si>
  <si>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</si>
  <si>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</si>
  <si>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</si>
  <si>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</si>
  <si>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</si>
  <si>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</si>
  <si>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</si>
  <si>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</si>
  <si>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</si>
  <si>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</si>
  <si>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</si>
  <si>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</si>
  <si>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</si>
  <si>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</si>
  <si>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</si>
  <si>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</si>
  <si>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</si>
  <si>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</si>
  <si>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</si>
  <si>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</si>
  <si>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</si>
  <si>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</si>
  <si>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</si>
  <si>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</si>
  <si>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</si>
  <si>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</si>
  <si>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</si>
  <si>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</si>
  <si>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</si>
  <si>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</si>
  <si>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</si>
  <si>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</si>
  <si>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</si>
  <si>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</si>
  <si>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</si>
  <si>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</si>
  <si>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</si>
  <si>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</si>
  <si>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</si>
  <si>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</si>
  <si>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</si>
  <si>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</si>
  <si>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</si>
  <si>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</si>
  <si>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</si>
  <si>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</si>
  <si>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</si>
  <si>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</si>
  <si>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</si>
  <si>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</si>
  <si>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</si>
  <si>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</si>
  <si>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</si>
  <si>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</si>
  <si>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</si>
  <si>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</si>
  <si>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</si>
  <si>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</si>
  <si>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</si>
  <si>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</si>
  <si>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</si>
  <si>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</si>
  <si>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</si>
  <si>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</si>
  <si>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</si>
  <si>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</si>
  <si>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</si>
  <si>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</si>
  <si>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</si>
  <si>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</si>
  <si>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</si>
  <si>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</si>
  <si>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</si>
  <si>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</si>
  <si>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</si>
  <si>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</si>
  <si>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</si>
  <si>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</si>
  <si>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</si>
  <si>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</si>
  <si>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</si>
  <si>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</si>
  <si>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</si>
  <si>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</si>
  <si>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</si>
  <si>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</si>
  <si>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</si>
  <si>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</si>
  <si>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</si>
  <si>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</si>
  <si>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</si>
  <si>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</si>
  <si>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</si>
  <si>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</si>
  <si>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</si>
  <si>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</si>
  <si>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</si>
  <si>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</si>
  <si>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</si>
  <si>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</si>
  <si>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</si>
  <si>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</si>
  <si>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</si>
  <si>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</si>
  <si>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</si>
  <si>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</si>
  <si>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</si>
  <si>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</si>
  <si>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</si>
  <si>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</si>
  <si>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</si>
  <si>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</si>
  <si>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</si>
  <si>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</si>
  <si>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</si>
  <si>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</si>
  <si>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</si>
  <si>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</si>
  <si>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</si>
  <si>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</si>
  <si>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</si>
  <si>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</si>
  <si>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</si>
  <si>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</si>
  <si>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</si>
  <si>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</si>
  <si>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</si>
  <si>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</si>
  <si>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</si>
  <si>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</si>
  <si>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</si>
  <si>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</si>
  <si>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</si>
  <si>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</si>
  <si>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</si>
  <si>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</si>
  <si>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</si>
  <si>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</si>
  <si>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</si>
  <si>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</si>
  <si>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</si>
  <si>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</si>
  <si>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</si>
  <si>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</si>
  <si>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</si>
  <si>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</si>
  <si>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</si>
  <si>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</si>
  <si>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</si>
  <si>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</si>
  <si>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</si>
  <si>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</si>
  <si>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</si>
  <si>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</si>
  <si>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</si>
  <si>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</si>
  <si>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</si>
  <si>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</si>
  <si>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</si>
  <si>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</si>
  <si>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</si>
  <si>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</si>
  <si>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</si>
  <si>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</si>
  <si>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</si>
  <si>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</si>
  <si>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</si>
  <si>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</si>
  <si>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</si>
  <si>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</si>
  <si>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</si>
  <si>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</si>
  <si>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</si>
  <si>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</si>
  <si>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</si>
  <si>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</si>
  <si>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</si>
  <si>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</si>
  <si>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</si>
  <si>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</si>
  <si>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</si>
  <si>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</si>
  <si>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</si>
  <si>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</si>
  <si>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</si>
  <si>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</si>
  <si>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</si>
  <si>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</si>
  <si>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</si>
  <si>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</si>
  <si>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</si>
  <si>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</si>
  <si>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</si>
  <si>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</si>
  <si>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</si>
  <si>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</si>
  <si>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</si>
  <si>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</si>
  <si>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</si>
  <si>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</si>
  <si>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</si>
  <si>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</si>
  <si>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</si>
  <si>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</si>
  <si>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</si>
  <si>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</si>
  <si>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</si>
  <si>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</si>
  <si>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</si>
  <si>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</si>
  <si>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</si>
  <si>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</si>
  <si>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</si>
  <si>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</si>
  <si>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</si>
  <si>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</si>
  <si>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</si>
  <si>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</si>
  <si>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</si>
  <si>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</si>
  <si>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</si>
  <si>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</si>
  <si>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</si>
  <si>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</si>
  <si>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</si>
  <si>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</si>
  <si>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</si>
  <si>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</si>
  <si>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</si>
  <si>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</si>
  <si>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</si>
  <si>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</si>
  <si>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</si>
  <si>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</si>
  <si>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</si>
  <si>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</si>
  <si>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</si>
  <si>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</si>
  <si>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</si>
  <si>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</si>
  <si>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</si>
  <si>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</si>
  <si>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</si>
  <si>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</si>
  <si>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</si>
  <si>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</si>
  <si>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</si>
  <si>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</si>
  <si>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</si>
  <si>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</si>
  <si>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</si>
  <si>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</si>
  <si>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</si>
  <si>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</si>
  <si>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</si>
  <si>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</si>
  <si>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</si>
  <si>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</si>
  <si>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</si>
  <si>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</si>
  <si>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</si>
  <si>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</si>
  <si>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</si>
  <si>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</si>
  <si>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</si>
  <si>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</si>
  <si>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</si>
  <si>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</si>
  <si>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</si>
  <si>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</si>
  <si>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</si>
  <si>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</si>
  <si>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</si>
  <si>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</si>
  <si>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</si>
  <si>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</si>
  <si>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</si>
  <si>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</si>
  <si>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</si>
  <si>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</si>
  <si>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</si>
  <si>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</si>
  <si>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</si>
  <si>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</si>
  <si>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</si>
  <si>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</si>
  <si>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</si>
  <si>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</si>
  <si>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</si>
  <si>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</si>
  <si>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</si>
  <si>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</si>
  <si>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</si>
  <si>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</si>
  <si>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</si>
  <si>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</si>
  <si>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</si>
  <si>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</si>
  <si>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</si>
  <si>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</si>
  <si>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</si>
  <si>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</si>
  <si>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</si>
  <si>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</si>
  <si>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</si>
  <si>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</si>
  <si>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</si>
  <si>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</si>
  <si>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</si>
  <si>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</si>
  <si>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</si>
  <si>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</si>
  <si>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</si>
  <si>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</si>
  <si>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</si>
  <si>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</si>
  <si>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</si>
  <si>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</si>
  <si>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</si>
  <si>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</si>
  <si>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</si>
  <si>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</si>
  <si>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</si>
  <si>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</si>
  <si>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</si>
  <si>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</si>
  <si>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</si>
  <si>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</si>
  <si>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</si>
  <si>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</si>
  <si>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</si>
  <si>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</si>
  <si>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</si>
  <si>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</si>
  <si>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</si>
  <si>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</si>
  <si>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</si>
  <si>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</si>
  <si>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</si>
  <si>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</si>
  <si>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</si>
  <si>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</si>
  <si>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</si>
  <si>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</si>
  <si>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</si>
  <si>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</si>
  <si>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</si>
  <si>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</si>
  <si>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</si>
  <si>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</si>
  <si>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</si>
  <si>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</si>
  <si>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</si>
  <si>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</si>
  <si>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</si>
  <si>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</si>
  <si>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</si>
  <si>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</si>
  <si>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</si>
  <si>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</si>
  <si>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</si>
  <si>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</si>
  <si>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</si>
  <si>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</si>
  <si>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</si>
  <si>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</si>
  <si>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</si>
  <si>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</si>
  <si>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</si>
  <si>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</si>
  <si>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</si>
  <si>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</si>
  <si>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</si>
  <si>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</si>
  <si>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</si>
  <si>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</si>
  <si>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</si>
  <si>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</si>
  <si>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</si>
  <si>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</si>
  <si>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</si>
  <si>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</si>
  <si>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</si>
  <si>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</si>
  <si>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</si>
  <si>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</si>
  <si>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</si>
  <si>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</si>
  <si>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</si>
  <si>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</si>
  <si>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</si>
  <si>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</si>
  <si>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</si>
  <si>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</si>
  <si>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</si>
  <si>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</si>
  <si>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</si>
  <si>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</si>
  <si>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</si>
  <si>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</si>
  <si>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</si>
  <si>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</si>
  <si>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</si>
  <si>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</si>
  <si>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</si>
  <si>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</si>
  <si>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</si>
  <si>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</si>
  <si>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</si>
  <si>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</si>
  <si>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</si>
  <si>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</si>
  <si>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</si>
  <si>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</si>
  <si>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</si>
  <si>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</si>
  <si>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</si>
  <si>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</si>
  <si>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</si>
  <si>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</si>
  <si>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</si>
  <si>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</si>
  <si>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</si>
  <si>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</si>
  <si>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</si>
  <si>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</si>
  <si>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</si>
  <si>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</si>
  <si>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</si>
  <si>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</si>
  <si>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</si>
  <si>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</si>
  <si>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</si>
  <si>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</si>
  <si>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</si>
  <si>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</si>
  <si>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</si>
  <si>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</si>
  <si>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</si>
  <si>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</si>
  <si>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</si>
  <si>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</si>
  <si>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</si>
  <si>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</si>
  <si>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</si>
  <si>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</si>
  <si>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</si>
  <si>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</si>
  <si>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</si>
  <si>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</si>
  <si>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</si>
  <si>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</si>
  <si>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</si>
  <si>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</si>
  <si>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</si>
  <si>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</si>
  <si>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</si>
  <si>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</si>
  <si>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</si>
  <si>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</si>
  <si>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</si>
  <si>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</si>
  <si>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</si>
  <si>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</si>
  <si>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</si>
  <si>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</si>
  <si>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</si>
  <si>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</si>
  <si>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</si>
  <si>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</si>
  <si>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</si>
  <si>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</si>
  <si>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</si>
  <si>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</si>
  <si>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</si>
  <si>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</si>
  <si>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</si>
  <si>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</si>
  <si>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</si>
  <si>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</si>
  <si>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</si>
  <si>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</si>
  <si>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</si>
  <si>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</si>
  <si>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</si>
  <si>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</si>
  <si>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</si>
  <si>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</si>
  <si>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</si>
  <si>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</si>
  <si>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</si>
  <si>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</si>
  <si>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</si>
  <si>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</si>
  <si>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</si>
  <si>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</si>
  <si>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</si>
  <si>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</si>
  <si>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</si>
  <si>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</si>
  <si>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</si>
  <si>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</si>
  <si>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</si>
  <si>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</si>
  <si>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</si>
  <si>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</si>
  <si>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</si>
  <si>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</si>
  <si>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</si>
  <si>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</si>
  <si>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</si>
  <si>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</si>
  <si>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</si>
  <si>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</si>
  <si>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</si>
  <si>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</si>
  <si>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</si>
  <si>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</si>
  <si>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</si>
  <si>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</si>
  <si>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</si>
  <si>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</si>
  <si>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</si>
  <si>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</si>
  <si>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</si>
  <si>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</si>
  <si>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</si>
  <si>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</si>
  <si>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</si>
  <si>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</si>
  <si>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</si>
  <si>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</si>
  <si>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</si>
  <si>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</si>
  <si>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</si>
  <si>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</si>
  <si>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</si>
  <si>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</si>
  <si>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</si>
  <si>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</si>
  <si>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</si>
  <si>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</si>
  <si>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</si>
  <si>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</si>
  <si>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</si>
  <si>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</si>
  <si>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</si>
  <si>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</si>
  <si>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</si>
  <si>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</si>
  <si>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</si>
  <si>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</si>
  <si>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</si>
  <si>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</si>
  <si>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</si>
  <si>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</si>
  <si>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</si>
  <si>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</si>
  <si>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</si>
  <si>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</si>
  <si>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</si>
  <si>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</si>
  <si>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</si>
  <si>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</si>
  <si>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</si>
  <si>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</si>
  <si>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</si>
  <si>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</si>
  <si>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</si>
  <si>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</si>
  <si>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</si>
  <si>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</si>
  <si>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</si>
  <si>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</si>
  <si>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</si>
  <si>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</si>
  <si>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</si>
  <si>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</si>
  <si>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</si>
  <si>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</si>
  <si>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</si>
  <si>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</si>
  <si>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</si>
  <si>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</si>
  <si>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</si>
  <si>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</si>
  <si>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</si>
  <si>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</si>
  <si>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</si>
  <si>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</si>
  <si>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</si>
  <si>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</si>
  <si>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</si>
  <si>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</si>
  <si>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</si>
  <si>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</si>
  <si>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</si>
  <si>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</si>
  <si>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</si>
  <si>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</si>
  <si>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</si>
  <si>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</si>
  <si>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</si>
  <si>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</si>
  <si>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</si>
  <si>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</si>
  <si>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</si>
  <si>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</si>
  <si>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</si>
  <si>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</si>
  <si>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</si>
  <si>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</si>
  <si>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</si>
  <si>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</si>
  <si>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</si>
  <si>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</si>
  <si>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</si>
  <si>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</si>
  <si>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</si>
  <si>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</si>
  <si>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</si>
  <si>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</si>
  <si>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</si>
  <si>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</si>
  <si>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</si>
  <si>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</si>
  <si>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</si>
  <si>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</si>
  <si>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</si>
  <si>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</si>
  <si>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</si>
  <si>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</si>
  <si>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</si>
  <si>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</si>
  <si>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</si>
  <si>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</si>
  <si>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</si>
  <si>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</si>
  <si>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</si>
  <si>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</si>
  <si>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</si>
  <si>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</si>
  <si>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</si>
  <si>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</si>
  <si>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</si>
  <si>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</si>
  <si>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</si>
  <si>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</si>
  <si>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</si>
  <si>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</si>
  <si>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</si>
  <si>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</si>
  <si>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</si>
  <si>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</si>
  <si>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</si>
  <si>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</si>
  <si>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</si>
  <si>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</si>
  <si>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</si>
  <si>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</si>
  <si>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</si>
  <si>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</si>
  <si>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</si>
  <si>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</si>
  <si>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</si>
  <si>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</si>
  <si>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</si>
  <si>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</si>
  <si>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</si>
  <si>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</si>
  <si>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</si>
  <si>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</si>
  <si>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</si>
  <si>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</si>
  <si>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</si>
  <si>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</si>
  <si>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</si>
  <si>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</si>
  <si>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</si>
  <si>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</si>
  <si>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</si>
  <si>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</si>
  <si>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</si>
  <si>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</si>
  <si>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</si>
  <si>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</si>
  <si>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</si>
  <si>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</si>
  <si>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</si>
  <si>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</si>
  <si>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</si>
  <si>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</si>
  <si>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</si>
  <si>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</si>
  <si>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</si>
  <si>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</si>
  <si>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</si>
  <si>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</si>
  <si>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</si>
  <si>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</si>
  <si>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</si>
  <si>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</si>
  <si>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</si>
  <si>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</si>
  <si>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</si>
  <si>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</si>
  <si>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</si>
  <si>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</si>
  <si>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</si>
  <si>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</si>
  <si>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</si>
  <si>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</si>
  <si>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</si>
  <si>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</si>
  <si>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</si>
  <si>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</si>
  <si>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</si>
  <si>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</si>
  <si>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</si>
  <si>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</si>
  <si>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</si>
  <si>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</si>
  <si>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</si>
  <si>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</si>
  <si>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</si>
  <si>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</si>
  <si>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</si>
  <si>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</si>
  <si>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</si>
  <si>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</si>
  <si>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</si>
  <si>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</si>
  <si>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</si>
  <si>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</si>
  <si>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</si>
  <si>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</si>
  <si>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</si>
  <si>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</si>
  <si>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</si>
  <si>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</si>
  <si>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</si>
  <si>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</si>
  <si>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</si>
  <si>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</si>
  <si>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</si>
  <si>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</si>
  <si>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</si>
  <si>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</si>
  <si>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</si>
  <si>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</si>
  <si>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</si>
  <si>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</si>
  <si>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</si>
  <si>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</si>
  <si>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</si>
  <si>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</si>
  <si>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</si>
  <si>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</si>
  <si>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</si>
  <si>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</si>
  <si>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</si>
  <si>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</si>
  <si>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</si>
  <si>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</si>
  <si>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</si>
  <si>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</si>
  <si>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</si>
  <si>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</si>
  <si>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</si>
  <si>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</si>
  <si>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</si>
  <si>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</si>
  <si>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</si>
  <si>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</si>
  <si>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</si>
  <si>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</si>
  <si>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</si>
  <si>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</si>
  <si>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</si>
  <si>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</si>
  <si>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</si>
  <si>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</si>
  <si>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</si>
  <si>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</si>
  <si>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</si>
  <si>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</si>
  <si>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</si>
  <si>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</si>
  <si>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</si>
  <si>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</si>
  <si>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</si>
  <si>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</si>
  <si>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</si>
  <si>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</si>
  <si>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</si>
  <si>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</si>
  <si>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</si>
  <si>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</si>
  <si>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</si>
  <si>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</si>
  <si>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</si>
  <si>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</si>
  <si>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</si>
  <si>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</si>
  <si>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</si>
  <si>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</si>
  <si>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</si>
  <si>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</si>
  <si>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</si>
  <si>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</si>
  <si>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</si>
  <si>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</si>
  <si>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</si>
  <si>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</si>
  <si>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</si>
  <si>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</si>
  <si>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</si>
  <si>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</si>
  <si>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</si>
  <si>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</si>
  <si>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</si>
  <si>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</si>
  <si>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</si>
  <si>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</si>
  <si>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</si>
  <si>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</si>
  <si>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</si>
  <si>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</si>
  <si>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</si>
  <si>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</si>
  <si>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</si>
  <si>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</si>
  <si>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</si>
  <si>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</si>
  <si>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</si>
  <si>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</si>
  <si>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</si>
  <si>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</si>
  <si>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</si>
  <si>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</si>
  <si>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</si>
  <si>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</si>
  <si>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</si>
  <si>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</si>
  <si>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</si>
  <si>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</si>
  <si>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</si>
  <si>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</si>
  <si>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</si>
  <si>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</si>
  <si>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</si>
  <si>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</si>
  <si>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</si>
  <si>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</si>
  <si>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</si>
  <si>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</si>
  <si>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</si>
  <si>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</si>
  <si>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</si>
  <si>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</si>
  <si>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</si>
  <si>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</si>
  <si>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</si>
  <si>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</si>
  <si>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</si>
  <si>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</si>
  <si>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</si>
  <si>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</si>
  <si>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</si>
  <si>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</si>
  <si>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</si>
  <si>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</si>
  <si>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</si>
  <si>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</si>
  <si>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</si>
  <si>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</si>
  <si>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</si>
  <si>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</si>
  <si>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</si>
  <si>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</si>
  <si>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</si>
  <si>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</si>
  <si>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</si>
  <si>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</si>
  <si>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</si>
  <si>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</si>
  <si>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</si>
  <si>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</si>
  <si>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</si>
  <si>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</si>
  <si>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</si>
  <si>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</si>
  <si>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</si>
  <si>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</si>
  <si>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</si>
  <si>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</si>
  <si>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</si>
  <si>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</si>
  <si>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</si>
  <si>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</si>
  <si>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</si>
  <si>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</si>
  <si>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</si>
  <si>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</si>
  <si>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</si>
  <si>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</si>
  <si>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</si>
  <si>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</si>
  <si>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</si>
  <si>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</si>
  <si>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</si>
  <si>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</si>
  <si>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</si>
  <si>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</si>
  <si>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</si>
  <si>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</si>
  <si>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</si>
  <si>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</si>
  <si>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</si>
  <si>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</si>
  <si>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</si>
  <si>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</si>
  <si>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</si>
  <si>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</si>
  <si>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</si>
  <si>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</si>
  <si>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</si>
  <si>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</si>
  <si>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</si>
  <si>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</si>
  <si>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</si>
  <si>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</si>
  <si>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</si>
  <si>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</si>
  <si>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</si>
  <si>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</si>
  <si>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</si>
  <si>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</si>
  <si>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</si>
  <si>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</si>
  <si>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</si>
  <si>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</si>
  <si>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</si>
  <si>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</si>
  <si>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</si>
  <si>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</si>
  <si>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</si>
  <si>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</si>
  <si>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</si>
  <si>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</si>
  <si>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</si>
  <si>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</si>
  <si>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</si>
  <si>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</si>
  <si>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</si>
  <si>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</si>
  <si>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</si>
  <si>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</si>
  <si>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</si>
  <si>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</si>
  <si>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</si>
  <si>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</si>
  <si>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</si>
  <si>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</si>
  <si>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</si>
  <si>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</si>
  <si>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</si>
  <si>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</si>
  <si>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</si>
  <si>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</si>
  <si>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</si>
  <si>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</si>
  <si>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</si>
  <si>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</si>
  <si>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</si>
  <si>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</si>
  <si>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</si>
  <si>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</si>
  <si>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</si>
  <si>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</si>
  <si>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</si>
  <si>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</si>
  <si>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</si>
  <si>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</si>
  <si>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</si>
  <si>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</si>
  <si>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</si>
  <si>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</si>
  <si>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</si>
  <si>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</si>
  <si>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</si>
  <si>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</si>
  <si>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</si>
  <si>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</si>
  <si>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</si>
  <si>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</si>
  <si>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</si>
  <si>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</si>
  <si>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</si>
  <si>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</si>
  <si>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</si>
  <si>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</si>
  <si>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</si>
  <si>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</si>
  <si>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</si>
  <si>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</si>
  <si>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</si>
  <si>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</si>
  <si>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</si>
  <si>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</si>
  <si>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</si>
  <si>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</si>
  <si>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</si>
  <si>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</si>
  <si>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</si>
  <si>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</si>
  <si>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</si>
  <si>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</si>
  <si>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</si>
  <si>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</si>
  <si>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</si>
  <si>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</si>
  <si>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</si>
  <si>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</si>
  <si>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</si>
  <si>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</si>
  <si>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</si>
  <si>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</si>
  <si>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</si>
  <si>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</si>
  <si>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</si>
  <si>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</si>
  <si>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</si>
  <si>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</si>
  <si>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</si>
  <si>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</si>
  <si>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</si>
  <si>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</si>
  <si>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</si>
  <si>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</si>
  <si>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</si>
  <si>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</si>
  <si>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</si>
  <si>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</si>
  <si>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</si>
  <si>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</si>
  <si>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</si>
  <si>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</si>
  <si>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</si>
  <si>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</si>
  <si>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</si>
  <si>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</si>
  <si>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</si>
  <si>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</si>
  <si>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</si>
  <si>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</si>
  <si>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</si>
  <si>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</si>
  <si>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</si>
  <si>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</si>
  <si>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</si>
  <si>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</si>
  <si>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</si>
  <si>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</si>
  <si>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</si>
  <si>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</si>
  <si>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</si>
  <si>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</si>
  <si>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</si>
  <si>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</si>
  <si>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</si>
  <si>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</si>
  <si>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</si>
  <si>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</si>
  <si>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</si>
  <si>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</si>
  <si>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</si>
  <si>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</si>
  <si>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</si>
  <si>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</si>
  <si>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</si>
  <si>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</si>
  <si>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</si>
  <si>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</si>
  <si>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</si>
  <si>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</si>
  <si>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</si>
  <si>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</si>
  <si>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</si>
  <si>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</si>
  <si>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</si>
  <si>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</si>
  <si>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</si>
  <si>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</si>
  <si>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</si>
  <si>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</si>
  <si>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</si>
  <si>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</si>
  <si>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</si>
  <si>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</si>
  <si>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</si>
  <si>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</si>
  <si>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</si>
  <si>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</si>
  <si>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</si>
  <si>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</si>
  <si>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</si>
  <si>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</si>
  <si>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</si>
  <si>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</si>
  <si>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</si>
  <si>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</si>
  <si>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</si>
  <si>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</si>
  <si>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</si>
  <si>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</si>
  <si>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</si>
  <si>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</si>
  <si>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</si>
  <si>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</si>
  <si>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</si>
  <si>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</si>
  <si>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</si>
  <si>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</si>
  <si>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</si>
  <si>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</si>
  <si>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</si>
  <si>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</si>
  <si>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</si>
  <si>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</si>
  <si>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</si>
  <si>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</si>
  <si>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</si>
  <si>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</si>
  <si>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</si>
  <si>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</si>
  <si>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</si>
  <si>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</si>
  <si>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</si>
  <si>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</si>
  <si>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</si>
  <si>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</si>
  <si>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</si>
  <si>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</si>
  <si>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</si>
  <si>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</si>
  <si>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</si>
  <si>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</si>
  <si>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</si>
  <si>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</si>
  <si>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</si>
  <si>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</si>
  <si>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</si>
  <si>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</si>
  <si>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</si>
  <si>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</si>
  <si>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</si>
  <si>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</si>
  <si>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</si>
  <si>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</si>
  <si>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</si>
  <si>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</si>
  <si>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</si>
  <si>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</si>
  <si>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</si>
  <si>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</si>
  <si>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</si>
  <si>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</si>
  <si>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</si>
  <si>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</si>
  <si>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</si>
  <si>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</si>
  <si>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</si>
  <si>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</si>
  <si>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</si>
  <si>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</si>
  <si>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</si>
  <si>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</si>
  <si>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</si>
  <si>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</si>
  <si>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</si>
  <si>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</si>
  <si>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</si>
  <si>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</si>
  <si>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</si>
  <si>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</si>
  <si>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</si>
  <si>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</si>
  <si>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</si>
  <si>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</si>
  <si>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</si>
  <si>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</si>
  <si>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</si>
  <si>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</si>
  <si>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</si>
  <si>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</si>
  <si>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</si>
  <si>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</si>
  <si>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</si>
  <si>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</si>
  <si>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</si>
  <si>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</si>
  <si>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</si>
  <si>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</si>
  <si>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</si>
  <si>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</si>
  <si>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</si>
  <si>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</si>
  <si>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</si>
  <si>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</si>
  <si>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</si>
  <si>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</si>
  <si>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</si>
  <si>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</si>
  <si>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</si>
  <si>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</si>
  <si>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</si>
  <si>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</si>
  <si>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</si>
  <si>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</si>
  <si>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</si>
  <si>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</si>
  <si>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</si>
  <si>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</si>
  <si>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</si>
  <si>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</si>
  <si>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</si>
  <si>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</si>
  <si>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</si>
  <si>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</si>
  <si>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</si>
  <si>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</si>
  <si>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</si>
  <si>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</si>
  <si>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</si>
  <si>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</si>
  <si>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</si>
  <si>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</si>
  <si>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</si>
  <si>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</si>
  <si>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</si>
  <si>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</si>
  <si>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</si>
  <si>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</si>
  <si>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</si>
  <si>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</si>
  <si>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</si>
  <si>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</si>
  <si>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</si>
  <si>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</si>
  <si>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</si>
  <si>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</si>
  <si>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</si>
  <si>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</si>
  <si>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</si>
  <si>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</si>
  <si>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</si>
  <si>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</si>
  <si>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</si>
  <si>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</si>
  <si>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</si>
  <si>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</si>
  <si>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</si>
  <si>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</si>
  <si>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</si>
  <si>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</si>
  <si>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</si>
  <si>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</si>
  <si>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</si>
  <si>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</si>
  <si>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</si>
  <si>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</si>
  <si>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</si>
  <si>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</si>
  <si>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</si>
  <si>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</si>
  <si>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</si>
  <si>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</si>
  <si>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</si>
  <si>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</si>
  <si>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</si>
  <si>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</si>
  <si>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</si>
  <si>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</si>
  <si>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</si>
  <si>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</si>
  <si>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</si>
  <si>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</si>
  <si>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</si>
  <si>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</si>
  <si>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</si>
  <si>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</si>
  <si>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</si>
  <si>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</si>
  <si>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</si>
  <si>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</si>
  <si>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</si>
  <si>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</si>
  <si>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</si>
  <si>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</si>
  <si>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</si>
  <si>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</si>
  <si>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</si>
  <si>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</si>
  <si>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</si>
  <si>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</si>
  <si>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</si>
  <si>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</si>
  <si>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</si>
  <si>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</si>
  <si>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</si>
  <si>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</si>
  <si>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</si>
  <si>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</si>
  <si>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</si>
  <si>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</si>
  <si>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</si>
  <si>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</si>
  <si>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</si>
  <si>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</si>
  <si>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</si>
  <si>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</si>
  <si>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</si>
  <si>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</si>
  <si>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</si>
  <si>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</si>
  <si>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</si>
  <si>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</si>
  <si>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</si>
  <si>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</si>
  <si>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</si>
  <si>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</si>
  <si>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</si>
  <si>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</si>
  <si>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</si>
  <si>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</si>
  <si>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</si>
  <si>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</si>
  <si>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</si>
  <si>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</si>
  <si>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</si>
  <si>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</si>
  <si>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</si>
  <si>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</si>
  <si>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</si>
  <si>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</si>
  <si>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</si>
  <si>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</si>
  <si>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</si>
  <si>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</si>
  <si>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</si>
  <si>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</si>
  <si>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</si>
  <si>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</si>
  <si>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</si>
  <si>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</si>
  <si>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</si>
  <si>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</si>
  <si>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</si>
  <si>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</si>
  <si>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</si>
  <si>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</si>
  <si>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</si>
  <si>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</si>
  <si>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</si>
  <si>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</si>
  <si>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</si>
  <si>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</si>
  <si>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</si>
  <si>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</si>
  <si>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</si>
  <si>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</si>
  <si>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</si>
  <si>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</si>
  <si>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</si>
  <si>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</si>
  <si>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</si>
  <si>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</si>
  <si>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</si>
  <si>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</si>
  <si>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</si>
  <si>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</si>
  <si>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</si>
  <si>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</si>
  <si>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</si>
  <si>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</si>
  <si>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</si>
  <si>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</si>
  <si>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</si>
  <si>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</si>
  <si>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</si>
  <si>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</si>
  <si>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</si>
  <si>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</si>
  <si>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</si>
  <si>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</si>
  <si>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</si>
  <si>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</si>
  <si>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</si>
  <si>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</si>
  <si>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</si>
  <si>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</si>
  <si>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</si>
  <si>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</si>
  <si>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</si>
  <si>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</si>
  <si>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</si>
  <si>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</si>
  <si>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</si>
  <si>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</si>
  <si>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</si>
  <si>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</si>
  <si>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</si>
  <si>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</si>
  <si>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</si>
  <si>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</si>
  <si>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</si>
  <si>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</si>
  <si>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</si>
  <si>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</si>
  <si>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</si>
  <si>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</si>
  <si>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</si>
  <si>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</si>
  <si>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</si>
  <si>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</si>
  <si>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</si>
  <si>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</si>
  <si>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</si>
  <si>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</si>
  <si>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</si>
  <si>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</si>
  <si>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</si>
  <si>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</si>
  <si>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</si>
  <si>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</si>
  <si>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</si>
  <si>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</si>
  <si>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</si>
  <si>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</si>
  <si>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</si>
  <si>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</si>
  <si>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</si>
  <si>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</si>
  <si>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</si>
  <si>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</si>
  <si>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</si>
  <si>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</si>
  <si>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</si>
  <si>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</si>
  <si>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</si>
  <si>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</si>
  <si>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</si>
  <si>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</si>
  <si>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</si>
  <si>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</si>
  <si>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</si>
  <si>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</si>
  <si>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</si>
  <si>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</si>
  <si>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</si>
  <si>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</si>
  <si>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</si>
  <si>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</si>
  <si>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</si>
  <si>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</si>
  <si>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</si>
  <si>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</si>
  <si>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</si>
  <si>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</si>
  <si>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</si>
  <si>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</si>
  <si>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</si>
  <si>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</si>
  <si>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</si>
  <si>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</si>
  <si>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</si>
  <si>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</si>
  <si>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</si>
  <si>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</si>
  <si>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</si>
  <si>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</si>
  <si>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</si>
  <si>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</si>
  <si>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</si>
  <si>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</si>
  <si>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</si>
  <si>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</si>
  <si>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</si>
  <si>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</si>
  <si>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</si>
  <si>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</si>
  <si>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</si>
  <si>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</si>
  <si>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</si>
  <si>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</si>
  <si>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</si>
  <si>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</si>
  <si>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</si>
  <si>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</si>
  <si>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</si>
  <si>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</si>
  <si>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</si>
  <si>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</si>
  <si>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</si>
  <si>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</si>
  <si>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</si>
  <si>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</si>
  <si>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</si>
  <si>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</si>
  <si>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</si>
  <si>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</si>
  <si>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</si>
  <si>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</si>
  <si>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</si>
  <si>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</si>
  <si>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</si>
  <si>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</si>
  <si>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</si>
  <si>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</si>
  <si>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</si>
  <si>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</si>
  <si>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</si>
  <si>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</si>
  <si>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</si>
  <si>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</si>
  <si>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</si>
  <si>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</si>
  <si>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</si>
  <si>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</si>
  <si>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</si>
  <si>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</si>
  <si>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</si>
  <si>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</si>
  <si>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</si>
  <si>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</si>
  <si>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</si>
  <si>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</si>
  <si>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</si>
  <si>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</si>
  <si>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</si>
  <si>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</si>
  <si>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</si>
  <si>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</si>
  <si>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</si>
  <si>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</si>
  <si>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</si>
  <si>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</si>
  <si>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</si>
  <si>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</si>
  <si>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</si>
  <si>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</si>
  <si>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</si>
  <si>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</si>
  <si>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</si>
  <si>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</si>
  <si>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</si>
  <si>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</si>
  <si>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</si>
  <si>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</si>
  <si>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</si>
  <si>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</si>
  <si>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</si>
  <si>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</si>
  <si>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</si>
  <si>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</si>
  <si>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</si>
  <si>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</si>
  <si>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</si>
  <si>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</si>
  <si>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</si>
  <si>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</si>
  <si>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</si>
  <si>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</si>
  <si>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</si>
  <si>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</si>
  <si>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</si>
  <si>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</si>
  <si>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</si>
  <si>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</si>
  <si>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</si>
  <si>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</si>
  <si>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</si>
  <si>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</si>
  <si>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</si>
  <si>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</si>
  <si>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</si>
  <si>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</si>
  <si>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</si>
  <si>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</si>
  <si>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</si>
  <si>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</si>
  <si>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</si>
  <si>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</si>
  <si>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</si>
  <si>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</si>
  <si>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</si>
  <si>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</si>
  <si>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</si>
  <si>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</si>
  <si>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</si>
  <si>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</si>
  <si>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</si>
  <si>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</si>
  <si>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</si>
  <si>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</si>
  <si>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</si>
  <si>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</si>
  <si>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</si>
  <si>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</si>
  <si>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</si>
  <si>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</si>
  <si>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</si>
  <si>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</si>
  <si>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</si>
  <si>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</si>
  <si>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</si>
  <si>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</si>
  <si>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</si>
  <si>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</si>
  <si>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</si>
  <si>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</si>
  <si>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</si>
  <si>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</si>
  <si>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</si>
  <si>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</si>
  <si>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</si>
  <si>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</si>
  <si>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</si>
  <si>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</si>
  <si>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</si>
  <si>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</si>
  <si>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</si>
  <si>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</si>
  <si>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</si>
  <si>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</si>
  <si>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</si>
  <si>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</si>
  <si>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</si>
  <si>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</si>
  <si>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</si>
  <si>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</si>
  <si>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</si>
  <si>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</si>
  <si>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</si>
  <si>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</si>
  <si>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</si>
  <si>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</si>
  <si>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</si>
  <si>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</si>
  <si>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</si>
  <si>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</si>
  <si>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</si>
  <si>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</si>
  <si>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</si>
  <si>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</si>
  <si>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</si>
  <si>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</si>
  <si>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</si>
  <si>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</si>
  <si>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</si>
  <si>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</si>
  <si>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</si>
  <si>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</si>
  <si>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</si>
  <si>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</si>
  <si>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</si>
  <si>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</si>
  <si>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</si>
  <si>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</si>
  <si>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</si>
  <si>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</si>
  <si>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</si>
  <si>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</si>
  <si>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</si>
  <si>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</si>
  <si>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</si>
  <si>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</si>
  <si>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</si>
  <si>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</si>
  <si>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</si>
  <si>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</si>
  <si>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</si>
  <si>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</si>
  <si>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</si>
  <si>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</si>
  <si>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</si>
  <si>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</si>
  <si>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</si>
  <si>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</si>
  <si>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</si>
  <si>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</si>
  <si>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</si>
  <si>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</si>
  <si>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</si>
  <si>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</si>
  <si>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</si>
  <si>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</si>
  <si>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</si>
  <si>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</si>
  <si>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</si>
  <si>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</si>
  <si>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</si>
  <si>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</si>
  <si>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</si>
  <si>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</si>
  <si>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</si>
  <si>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</si>
  <si>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</si>
  <si>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</si>
  <si>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</si>
  <si>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</si>
  <si>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</si>
  <si>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</si>
  <si>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</si>
  <si>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</si>
  <si>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</si>
  <si>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</si>
  <si>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</si>
  <si>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</si>
  <si>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</si>
  <si>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</si>
  <si>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</si>
  <si>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</si>
  <si>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</si>
  <si>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</si>
  <si>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</si>
  <si>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</si>
  <si>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</si>
  <si>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</si>
  <si>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</si>
  <si>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</si>
  <si>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</si>
  <si>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</si>
  <si>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</si>
  <si>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</si>
  <si>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</si>
  <si>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</si>
  <si>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</si>
  <si>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</si>
  <si>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</si>
  <si>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</si>
  <si>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</si>
  <si>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</si>
  <si>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</si>
  <si>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</si>
  <si>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</si>
  <si>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</si>
  <si>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</si>
  <si>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</si>
  <si>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</si>
  <si>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</si>
  <si>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</si>
  <si>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</si>
  <si>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</si>
  <si>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</si>
  <si>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</si>
  <si>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</si>
  <si>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</si>
  <si>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</si>
  <si>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</si>
  <si>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</si>
  <si>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</si>
  <si>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</si>
  <si>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</si>
  <si>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</si>
  <si>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</si>
  <si>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</si>
  <si>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</si>
  <si>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</si>
  <si>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</si>
  <si>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</si>
  <si>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</si>
  <si>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</si>
  <si>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</si>
  <si>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</si>
  <si>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</si>
  <si>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</si>
  <si>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</si>
  <si>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</si>
  <si>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</si>
  <si>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</si>
  <si>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</si>
  <si>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</si>
  <si>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</si>
  <si>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</si>
  <si>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</si>
  <si>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</si>
  <si>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</si>
  <si>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</si>
  <si>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</si>
  <si>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</si>
  <si>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</si>
  <si>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</si>
  <si>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</si>
  <si>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</si>
  <si>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</si>
  <si>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</si>
  <si>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</si>
  <si>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</si>
  <si>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</si>
  <si>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</si>
  <si>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</si>
  <si>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</si>
  <si>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</si>
  <si>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</si>
  <si>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</si>
  <si>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</si>
  <si>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</si>
  <si>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</si>
  <si>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</si>
  <si>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</si>
  <si>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</si>
  <si>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</si>
  <si>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</si>
  <si>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</si>
  <si>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</si>
  <si>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</si>
  <si>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</si>
  <si>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</si>
  <si>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</si>
  <si>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</si>
  <si>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</si>
  <si>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</si>
  <si>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</si>
  <si>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</si>
  <si>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</si>
  <si>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</si>
  <si>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</si>
  <si>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</si>
  <si>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</si>
  <si>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</si>
  <si>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</si>
  <si>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</si>
  <si>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</si>
  <si>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</si>
  <si>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</si>
  <si>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</si>
  <si>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</si>
  <si>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</si>
  <si>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</si>
  <si>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</si>
  <si>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</si>
  <si>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</si>
  <si>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</si>
  <si>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</si>
  <si>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</si>
  <si>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</si>
  <si>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</si>
  <si>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</si>
  <si>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</si>
  <si>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</si>
  <si>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</si>
  <si>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</si>
  <si>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</si>
  <si>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</si>
  <si>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</si>
  <si>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</si>
  <si>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</si>
  <si>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</si>
  <si>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</si>
  <si>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</si>
  <si>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</si>
  <si>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</si>
  <si>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</si>
  <si>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</si>
  <si>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</si>
  <si>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</si>
  <si>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</si>
  <si>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</si>
  <si>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</si>
  <si>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</si>
  <si>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</si>
  <si>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</si>
  <si>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</si>
  <si>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</si>
  <si>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</si>
  <si>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</si>
  <si>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</si>
  <si>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</si>
  <si>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</si>
  <si>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</si>
  <si>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</si>
  <si>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</si>
  <si>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</si>
  <si>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</si>
  <si>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</si>
  <si>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</si>
  <si>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</si>
  <si>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</si>
  <si>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</si>
  <si>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</si>
  <si>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</si>
  <si>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</si>
  <si>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</si>
  <si>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</si>
  <si>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</si>
  <si>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</si>
  <si>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</si>
  <si>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</si>
  <si>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</si>
  <si>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</si>
  <si>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</si>
  <si>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</si>
  <si>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</si>
  <si>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</si>
  <si>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</si>
  <si>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</si>
  <si>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</si>
  <si>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</si>
  <si>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</si>
  <si>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</si>
  <si>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</si>
  <si>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</si>
  <si>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</si>
  <si>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</si>
  <si>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</si>
  <si>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</si>
  <si>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</si>
  <si>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</si>
  <si>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</si>
  <si>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</si>
  <si>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</si>
  <si>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</si>
  <si>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</si>
  <si>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</si>
  <si>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</si>
  <si>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</si>
  <si>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</si>
  <si>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</si>
  <si>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</si>
  <si>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</si>
  <si>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</si>
  <si>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</si>
  <si>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</si>
  <si>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</si>
  <si>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</si>
  <si>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</si>
  <si>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</si>
  <si>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</si>
  <si>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</si>
  <si>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</si>
  <si>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</si>
  <si>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</si>
  <si>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</si>
  <si>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</si>
  <si>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</si>
  <si>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</si>
  <si>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</si>
  <si>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</si>
  <si>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</si>
  <si>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</si>
  <si>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</si>
  <si>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</si>
  <si>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</si>
  <si>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</si>
  <si>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</si>
  <si>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</si>
  <si>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</si>
  <si>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</si>
  <si>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</si>
  <si>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</si>
  <si>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</si>
  <si>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</si>
  <si>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</si>
  <si>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</si>
  <si>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</si>
  <si>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</si>
  <si>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</si>
  <si>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</si>
  <si>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</si>
  <si>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</si>
  <si>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</si>
  <si>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</si>
  <si>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</si>
  <si>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</si>
  <si>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</si>
  <si>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</si>
  <si>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</si>
  <si>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</si>
  <si>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</si>
  <si>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</si>
  <si>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</si>
  <si>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</si>
  <si>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</si>
  <si>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</si>
  <si>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</si>
  <si>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</si>
  <si>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</si>
  <si>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</si>
  <si>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</si>
  <si>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</si>
  <si>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</si>
  <si>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</si>
  <si>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</si>
  <si>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</si>
  <si>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</si>
  <si>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</si>
  <si>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</si>
  <si>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</si>
  <si>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</si>
  <si>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</si>
  <si>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</si>
  <si>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</si>
  <si>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</si>
  <si>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</si>
  <si>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</si>
  <si>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</si>
  <si>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</si>
  <si>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</si>
  <si>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</si>
  <si>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</si>
  <si>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</si>
  <si>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</si>
  <si>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</si>
  <si>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</si>
  <si>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</si>
  <si>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</si>
  <si>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</si>
  <si>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</si>
  <si>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</si>
  <si>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</si>
  <si>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</si>
  <si>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</si>
  <si>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</si>
  <si>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</si>
  <si>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</si>
  <si>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</si>
  <si>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</si>
  <si>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</si>
  <si>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</si>
  <si>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</si>
  <si>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</si>
  <si>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</si>
  <si>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</si>
  <si>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</si>
  <si>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</si>
  <si>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</si>
  <si>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</si>
  <si>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</si>
  <si>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</si>
  <si>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</si>
  <si>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</si>
  <si>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</si>
  <si>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</si>
  <si>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</si>
  <si>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</si>
  <si>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</si>
  <si>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</si>
  <si>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</si>
  <si>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</si>
  <si>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</si>
  <si>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</si>
  <si>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</si>
  <si>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</si>
  <si>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</si>
  <si>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</si>
  <si>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</si>
  <si>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</si>
  <si>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</si>
  <si>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</si>
  <si>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</si>
  <si>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</si>
  <si>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</si>
  <si>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</si>
  <si>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</si>
  <si>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</si>
  <si>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</si>
  <si>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</si>
  <si>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</si>
  <si>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</si>
  <si>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</si>
  <si>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</si>
  <si>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</si>
  <si>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</si>
  <si>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</si>
  <si>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</si>
  <si>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</si>
  <si>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</si>
  <si>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</si>
  <si>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</si>
  <si>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</si>
  <si>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</si>
  <si>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</si>
  <si>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</si>
  <si>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</si>
  <si>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</si>
  <si>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</si>
  <si>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</si>
  <si>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</si>
  <si>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</si>
  <si>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</si>
  <si>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</si>
  <si>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</si>
  <si>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</si>
  <si>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</si>
  <si>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</si>
  <si>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</si>
  <si>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</si>
  <si>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</si>
  <si>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</si>
  <si>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</si>
  <si>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</si>
  <si>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</si>
  <si>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</si>
  <si>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</si>
  <si>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</si>
  <si>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</si>
  <si>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</si>
  <si>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</si>
  <si>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</si>
  <si>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</si>
  <si>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</si>
  <si>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</si>
  <si>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</si>
  <si>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</si>
  <si>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</si>
  <si>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</si>
  <si>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</si>
  <si>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</si>
  <si>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</si>
  <si>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</si>
  <si>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</si>
  <si>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</si>
  <si>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</si>
  <si>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</si>
  <si>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</si>
  <si>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</si>
  <si>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</si>
  <si>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</si>
  <si>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</si>
  <si>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</si>
  <si>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</si>
  <si>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</si>
  <si>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</si>
  <si>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</si>
  <si>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</si>
  <si>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</si>
  <si>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</si>
  <si>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</si>
  <si>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</si>
  <si>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</si>
  <si>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</si>
  <si>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</si>
  <si>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</si>
  <si>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</si>
  <si>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</si>
  <si>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</si>
  <si>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</si>
  <si>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</si>
  <si>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</si>
  <si>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</si>
  <si>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</si>
  <si>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</si>
  <si>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</si>
  <si>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</si>
  <si>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</si>
  <si>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</si>
  <si>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</si>
  <si>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</si>
  <si>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</si>
  <si>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</si>
  <si>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</si>
  <si>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</si>
  <si>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</si>
  <si>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</si>
  <si>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</si>
  <si>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</si>
  <si>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</si>
  <si>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</si>
  <si>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</si>
  <si>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</si>
  <si>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</si>
  <si>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</si>
  <si>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</si>
  <si>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</si>
  <si>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</si>
  <si>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</si>
  <si>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</si>
  <si>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</si>
  <si>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</si>
  <si>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</si>
  <si>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</si>
  <si>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</si>
  <si>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</si>
  <si>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</si>
  <si>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</si>
  <si>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</si>
  <si>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</si>
  <si>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</si>
  <si>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</si>
  <si>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</si>
  <si>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</si>
  <si>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</si>
  <si>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</si>
  <si>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</si>
  <si>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</si>
  <si>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</si>
  <si>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</si>
  <si>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</si>
  <si>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</si>
  <si>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</si>
  <si>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</si>
  <si>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</si>
  <si>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</si>
  <si>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</si>
  <si>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</si>
  <si>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</si>
  <si>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</si>
  <si>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</si>
  <si>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</si>
  <si>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</si>
  <si>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</si>
  <si>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</si>
  <si>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</si>
  <si>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</si>
  <si>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</si>
  <si>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</si>
  <si>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</si>
  <si>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</si>
  <si>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</si>
  <si>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</si>
  <si>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</si>
  <si>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</si>
  <si>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</si>
  <si>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</si>
  <si>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</si>
  <si>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</si>
  <si>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</si>
  <si>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</si>
  <si>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</si>
  <si>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</si>
  <si>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</si>
  <si>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</si>
  <si>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</si>
  <si>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</si>
  <si>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</si>
  <si>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</si>
  <si>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</si>
  <si>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</si>
  <si>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</si>
  <si>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</si>
  <si>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</si>
  <si>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</si>
  <si>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</si>
  <si>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</si>
  <si>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</si>
  <si>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</si>
  <si>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</si>
  <si>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</si>
  <si>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</si>
  <si>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</si>
  <si>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</si>
  <si>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</si>
  <si>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</si>
  <si>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</si>
  <si>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</si>
  <si>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</si>
  <si>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</si>
  <si>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</si>
  <si>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</si>
  <si>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</si>
  <si>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</si>
  <si>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</si>
  <si>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</si>
  <si>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</si>
  <si>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</si>
  <si>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</si>
  <si>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</si>
  <si>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</si>
  <si>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</si>
  <si>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</si>
  <si>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</si>
  <si>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</si>
  <si>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</si>
  <si>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</si>
  <si>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</si>
  <si>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</si>
  <si>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</si>
  <si>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</si>
  <si>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</si>
  <si>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</si>
  <si>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</si>
  <si>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</si>
  <si>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</si>
  <si>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</si>
  <si>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</si>
  <si>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</si>
  <si>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</si>
  <si>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</si>
  <si>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</si>
  <si>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</si>
  <si>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</si>
  <si>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</si>
  <si>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</si>
  <si>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</si>
  <si>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</si>
  <si>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</si>
  <si>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</si>
  <si>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</si>
  <si>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</si>
  <si>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</si>
  <si>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</si>
  <si>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</si>
  <si>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</si>
  <si>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</si>
  <si>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</si>
  <si>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</si>
  <si>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</si>
  <si>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</si>
  <si>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</si>
  <si>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</si>
  <si>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</si>
  <si>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</si>
  <si>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</si>
  <si>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</si>
  <si>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</si>
  <si>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</si>
  <si>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</si>
  <si>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</si>
  <si>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</si>
  <si>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</si>
  <si>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</si>
  <si>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</si>
  <si>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</si>
  <si>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</si>
  <si>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</si>
  <si>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</si>
  <si>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</si>
  <si>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</si>
  <si>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</si>
  <si>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</si>
  <si>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</si>
  <si>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</si>
  <si>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</si>
  <si>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</si>
  <si>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</si>
  <si>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</si>
  <si>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</si>
  <si>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</si>
  <si>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</si>
  <si>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</si>
  <si>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</si>
  <si>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</si>
  <si>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</si>
  <si>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</si>
  <si>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</si>
  <si>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</si>
  <si>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</si>
  <si>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</si>
  <si>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</si>
  <si>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</si>
  <si>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</si>
  <si>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</si>
  <si>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</si>
  <si>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</si>
  <si>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</si>
  <si>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</si>
  <si>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</si>
  <si>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</si>
  <si>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</si>
  <si>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</si>
  <si>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</si>
  <si>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</si>
  <si>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</si>
  <si>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</si>
  <si>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</si>
  <si>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</si>
  <si>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</si>
  <si>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</si>
  <si>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</si>
  <si>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</si>
  <si>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</si>
  <si>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</si>
  <si>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</si>
  <si>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</si>
  <si>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</si>
  <si>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</si>
  <si>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</si>
  <si>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</si>
  <si>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</si>
  <si>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</si>
  <si>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</si>
  <si>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</si>
  <si>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</si>
  <si>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</si>
  <si>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</si>
  <si>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</si>
  <si>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</si>
  <si>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</si>
  <si>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</si>
  <si>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</si>
  <si>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</si>
  <si>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</si>
  <si>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</si>
  <si>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</si>
  <si>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</si>
  <si>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</si>
  <si>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</si>
  <si>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</si>
  <si>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</si>
  <si>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</si>
  <si>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</si>
  <si>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</si>
  <si>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</si>
  <si>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</si>
  <si>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</si>
  <si>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</si>
  <si>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</si>
  <si>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</si>
  <si>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</si>
  <si>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</si>
  <si>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</si>
  <si>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</si>
  <si>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</si>
  <si>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</si>
  <si>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</si>
  <si>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</si>
  <si>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</si>
  <si>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</si>
  <si>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</si>
  <si>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</si>
  <si>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</si>
  <si>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</si>
  <si>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</si>
  <si>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</si>
  <si>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</si>
  <si>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</si>
  <si>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</si>
  <si>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</si>
  <si>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</si>
  <si>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</si>
  <si>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</si>
  <si>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</si>
  <si>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</si>
  <si>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</si>
  <si>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</si>
  <si>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</si>
  <si>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</si>
  <si>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</si>
  <si>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</si>
  <si>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</si>
  <si>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</si>
  <si>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</si>
  <si>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</si>
  <si>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</si>
  <si>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</si>
  <si>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</si>
  <si>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</si>
  <si>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</si>
  <si>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</si>
  <si>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</si>
  <si>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</si>
  <si>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</si>
  <si>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</si>
  <si>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</si>
  <si>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</si>
  <si>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</si>
  <si>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</si>
  <si>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</si>
  <si>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</si>
  <si>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</si>
  <si>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</si>
  <si>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</si>
  <si>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</si>
  <si>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</si>
  <si>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</si>
  <si>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</si>
  <si>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</si>
  <si>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</si>
  <si>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</si>
  <si>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</si>
  <si>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</si>
  <si>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</si>
  <si>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</si>
  <si>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</si>
  <si>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</si>
  <si>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</si>
  <si>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</si>
  <si>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</si>
  <si>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</si>
  <si>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</si>
  <si>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</si>
  <si>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</si>
  <si>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</si>
  <si>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</si>
  <si>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</si>
  <si>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</si>
  <si>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</si>
  <si>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</si>
  <si>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</si>
  <si>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</si>
  <si>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</si>
  <si>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</si>
  <si>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</si>
  <si>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</si>
  <si>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</si>
  <si>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</si>
  <si>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</si>
  <si>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</si>
  <si>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</si>
  <si>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</si>
  <si>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</si>
  <si>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</si>
  <si>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</si>
  <si>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</si>
  <si>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</si>
  <si>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</si>
  <si>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</si>
  <si>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</si>
  <si>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</si>
  <si>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</si>
  <si>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</si>
  <si>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</si>
  <si>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</si>
  <si>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</si>
  <si>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</si>
  <si>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</si>
  <si>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</si>
  <si>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</si>
  <si>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</si>
  <si>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</si>
  <si>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</si>
  <si>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</si>
  <si>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</si>
  <si>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</si>
  <si>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</si>
  <si>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</si>
  <si>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</si>
  <si>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</si>
  <si>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</si>
  <si>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</si>
  <si>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</si>
  <si>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</si>
  <si>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</si>
  <si>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</si>
  <si>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</si>
  <si>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</si>
  <si>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</si>
  <si>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</si>
  <si>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</si>
  <si>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</si>
  <si>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</si>
  <si>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</si>
  <si>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</si>
  <si>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</si>
  <si>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</si>
  <si>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</si>
  <si>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</si>
  <si>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</si>
  <si>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</si>
  <si>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</si>
  <si>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</si>
  <si>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</si>
  <si>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</si>
  <si>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</si>
  <si>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</si>
  <si>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</si>
  <si>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</si>
  <si>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</si>
  <si>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</si>
  <si>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</si>
  <si>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</si>
  <si>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</si>
  <si>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</si>
  <si>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</si>
  <si>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</si>
  <si>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</si>
  <si>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</si>
  <si>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</si>
  <si>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</si>
  <si>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</si>
  <si>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</si>
  <si>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</si>
  <si>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</si>
  <si>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</si>
  <si>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</si>
  <si>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</si>
  <si>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</si>
  <si>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</si>
  <si>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</si>
  <si>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</si>
  <si>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</si>
  <si>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</si>
  <si>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</si>
  <si>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</si>
  <si>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</si>
  <si>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</si>
  <si>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</si>
  <si>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</si>
  <si>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</si>
  <si>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</si>
  <si>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</si>
  <si>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</si>
  <si>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</si>
  <si>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</si>
  <si>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</si>
  <si>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</si>
  <si>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</si>
  <si>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</si>
  <si>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</si>
  <si>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</si>
  <si>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</si>
  <si>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</si>
  <si>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</si>
  <si>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</si>
  <si>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</si>
  <si>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</si>
  <si>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</si>
  <si>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</si>
  <si>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</si>
  <si>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</si>
  <si>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</si>
  <si>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</si>
  <si>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</si>
  <si>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</si>
  <si>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</si>
  <si>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</si>
  <si>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</si>
  <si>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</si>
  <si>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</si>
  <si>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</si>
  <si>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</si>
  <si>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</si>
  <si>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</si>
  <si>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</si>
  <si>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</si>
  <si>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</si>
  <si>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</si>
  <si>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</si>
  <si>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</si>
  <si>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</si>
  <si>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</si>
  <si>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</si>
  <si>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</si>
  <si>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</si>
  <si>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</si>
  <si>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</si>
  <si>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</si>
  <si>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</si>
  <si>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</si>
  <si>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</si>
  <si>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</si>
  <si>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</si>
  <si>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</si>
  <si>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</si>
  <si>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</si>
  <si>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</si>
  <si>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</si>
  <si>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</si>
  <si>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</si>
  <si>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</si>
  <si>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</si>
  <si>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</si>
  <si>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</si>
  <si>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</si>
  <si>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</si>
  <si>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</si>
  <si>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</si>
  <si>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</si>
  <si>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</si>
  <si>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</si>
  <si>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</si>
  <si>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</si>
  <si>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</si>
  <si>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</si>
  <si>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</si>
  <si>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</si>
  <si>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</si>
  <si>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</si>
  <si>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</si>
  <si>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</si>
  <si>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</si>
  <si>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</si>
  <si>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</si>
  <si>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</si>
  <si>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</si>
  <si>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</si>
  <si>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</si>
  <si>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</si>
  <si>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</si>
  <si>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</si>
  <si>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</si>
  <si>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</si>
  <si>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</si>
  <si>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</si>
  <si>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</si>
  <si>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</si>
  <si>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</si>
  <si>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</si>
  <si>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</si>
  <si>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</si>
  <si>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</si>
  <si>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</si>
  <si>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</si>
  <si>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</si>
  <si>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</si>
  <si>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</si>
  <si>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</si>
  <si>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</si>
  <si>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</si>
  <si>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</si>
  <si>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</si>
  <si>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</si>
  <si>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</si>
  <si>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</si>
  <si>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</si>
  <si>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</si>
  <si>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</si>
  <si>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</si>
  <si>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</si>
  <si>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</si>
  <si>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</si>
  <si>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</si>
  <si>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</si>
  <si>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</si>
  <si>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</si>
  <si>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</si>
  <si>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</si>
  <si>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</si>
  <si>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</si>
  <si>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</si>
  <si>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</si>
  <si>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</si>
  <si>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</si>
  <si>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</si>
  <si>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</si>
  <si>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</si>
  <si>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</si>
  <si>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</si>
  <si>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</si>
  <si>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</si>
  <si>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</si>
  <si>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</si>
  <si>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</si>
  <si>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</si>
  <si>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</si>
  <si>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</si>
  <si>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</si>
  <si>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</si>
  <si>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</si>
  <si>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</si>
  <si>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</si>
  <si>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</si>
  <si>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</si>
  <si>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</si>
  <si>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</si>
  <si>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</si>
  <si>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</si>
  <si>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</si>
  <si>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</si>
  <si>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</si>
  <si>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</si>
  <si>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</si>
  <si>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</si>
  <si>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</si>
  <si>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</si>
  <si>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</si>
  <si>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</si>
  <si>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</si>
  <si>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</si>
  <si>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</si>
  <si>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</si>
  <si>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</si>
  <si>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</si>
  <si>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</si>
  <si>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</si>
  <si>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</si>
  <si>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</si>
  <si>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</si>
  <si>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</si>
  <si>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</si>
  <si>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</si>
  <si>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</si>
  <si>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</si>
  <si>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</si>
  <si>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</si>
  <si>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</si>
  <si>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</si>
  <si>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</si>
  <si>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</si>
  <si>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</si>
  <si>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</si>
  <si>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</si>
  <si>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</si>
  <si>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</si>
  <si>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</si>
  <si>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</si>
  <si>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</si>
  <si>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</si>
  <si>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</si>
  <si>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</si>
  <si>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</si>
  <si>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</si>
  <si>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</si>
  <si>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</si>
  <si>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</si>
  <si>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</si>
  <si>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</si>
  <si>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</si>
  <si>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</si>
  <si>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</si>
  <si>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</si>
  <si>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</si>
  <si>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</si>
  <si>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</si>
  <si>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</si>
  <si>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</si>
  <si>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</si>
  <si>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</si>
  <si>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</si>
  <si>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</si>
  <si>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</si>
  <si>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</si>
  <si>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</si>
  <si>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</si>
  <si>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</si>
  <si>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</si>
  <si>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</si>
  <si>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</si>
  <si>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</si>
  <si>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</si>
  <si>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</si>
  <si>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</si>
  <si>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</si>
  <si>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</si>
  <si>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</si>
  <si>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</si>
  <si>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</si>
  <si>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</si>
  <si>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</si>
  <si>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</si>
  <si>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</si>
  <si>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</si>
  <si>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</si>
  <si>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</si>
  <si>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</si>
  <si>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</si>
  <si>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</si>
  <si>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</si>
  <si>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</si>
  <si>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</si>
  <si>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</si>
  <si>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</si>
  <si>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</si>
  <si>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</si>
  <si>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</si>
  <si>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</si>
  <si>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</si>
  <si>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</si>
  <si>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</si>
  <si>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</si>
  <si>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</si>
  <si>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</si>
  <si>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</si>
  <si>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</si>
  <si>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</si>
  <si>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</si>
  <si>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</si>
  <si>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</si>
  <si>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</si>
  <si>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</si>
  <si>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</si>
  <si>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</si>
  <si>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</si>
  <si>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</si>
  <si>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</si>
  <si>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</si>
  <si>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</si>
  <si>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</si>
  <si>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</si>
  <si>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</si>
  <si>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</si>
  <si>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</si>
  <si>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</si>
  <si>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</si>
  <si>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</si>
  <si>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</si>
  <si>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</si>
  <si>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</si>
  <si>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</si>
  <si>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</si>
  <si>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</si>
  <si>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</si>
  <si>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</si>
  <si>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</si>
  <si>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</si>
  <si>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</si>
  <si>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</si>
  <si>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</si>
  <si>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</si>
  <si>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</si>
  <si>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</si>
  <si>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</si>
  <si>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</si>
  <si>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</si>
  <si>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</si>
  <si>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</si>
  <si>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</si>
  <si>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</si>
  <si>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</si>
  <si>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</si>
  <si>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</si>
  <si>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</si>
  <si>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</si>
  <si>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</si>
  <si>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</si>
  <si>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</si>
  <si>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</si>
  <si>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</si>
  <si>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</si>
  <si>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</si>
  <si>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</si>
  <si>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</si>
  <si>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</si>
  <si>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</si>
  <si>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</si>
  <si>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</si>
  <si>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</si>
  <si>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</si>
  <si>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</si>
  <si>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</si>
  <si>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</si>
  <si>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</si>
  <si>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</si>
  <si>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</si>
  <si>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</si>
  <si>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</si>
  <si>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</si>
  <si>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</si>
  <si>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</si>
  <si>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</si>
  <si>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</si>
  <si>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</si>
  <si>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</si>
  <si>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</si>
  <si>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</si>
  <si>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</si>
  <si>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</si>
  <si>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</si>
  <si>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</si>
  <si>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</si>
  <si>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</si>
  <si>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</si>
  <si>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</si>
  <si>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</si>
  <si>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</si>
  <si>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</si>
  <si>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</si>
  <si>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</si>
  <si>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</si>
  <si>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</si>
  <si>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</si>
  <si>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</si>
  <si>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</si>
  <si>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</si>
  <si>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</si>
  <si>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</si>
  <si>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</si>
  <si>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</si>
  <si>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</si>
  <si>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</si>
  <si>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</si>
  <si>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</si>
  <si>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</si>
  <si>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</si>
  <si>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</si>
  <si>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</si>
  <si>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</si>
  <si>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</si>
  <si>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</si>
  <si>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</si>
  <si>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</si>
  <si>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</si>
  <si>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</si>
  <si>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</si>
  <si>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</si>
  <si>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</si>
  <si>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</si>
  <si>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</si>
  <si>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</si>
  <si>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</si>
  <si>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</si>
  <si>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</si>
  <si>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</si>
  <si>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</si>
  <si>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</si>
  <si>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</si>
  <si>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</si>
  <si>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</si>
  <si>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</si>
  <si>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</si>
  <si>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</si>
  <si>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</si>
  <si>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</si>
  <si>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</si>
  <si>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</si>
  <si>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</si>
  <si>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</si>
  <si>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</si>
  <si>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</si>
  <si>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</si>
  <si>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</si>
  <si>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</si>
  <si>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</si>
  <si>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</si>
  <si>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</si>
  <si>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</si>
  <si>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</si>
  <si>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</si>
  <si>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</si>
  <si>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</si>
  <si>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</si>
  <si>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</si>
  <si>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</si>
  <si>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</si>
  <si>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</si>
  <si>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</si>
  <si>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</si>
  <si>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</si>
  <si>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</si>
  <si>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</si>
  <si>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</si>
  <si>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</si>
  <si>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</si>
  <si>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</si>
  <si>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</si>
  <si>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</si>
  <si>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</si>
  <si>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</si>
  <si>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</si>
  <si>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</si>
  <si>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</si>
  <si>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</si>
  <si>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</si>
  <si>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</si>
  <si>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</si>
  <si>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</si>
  <si>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</si>
  <si>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</si>
  <si>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</si>
  <si>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</si>
  <si>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</si>
  <si>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</si>
  <si>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</si>
  <si>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</si>
  <si>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</si>
  <si>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</si>
  <si>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</si>
  <si>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</si>
  <si>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</si>
  <si>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</si>
  <si>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</si>
  <si>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</si>
  <si>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</si>
  <si>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</si>
  <si>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</si>
  <si>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</si>
  <si>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</si>
  <si>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</si>
  <si>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</si>
  <si>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</si>
  <si>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</si>
  <si>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</si>
  <si>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</si>
  <si>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</si>
  <si>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</si>
  <si>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</si>
  <si>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</si>
  <si>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</si>
  <si>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</si>
  <si>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</si>
  <si>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</si>
  <si>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</si>
  <si>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</si>
  <si>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</si>
  <si>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</si>
  <si>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</si>
  <si>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</si>
  <si>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</si>
  <si>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</si>
  <si>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</si>
  <si>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</si>
  <si>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</si>
  <si>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</si>
  <si>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</si>
  <si>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</si>
  <si>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</si>
  <si>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</si>
  <si>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</si>
  <si>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</si>
  <si>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</si>
  <si>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</si>
  <si>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</si>
  <si>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</si>
  <si>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</si>
  <si>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</si>
  <si>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</si>
  <si>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</si>
  <si>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</si>
  <si>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</si>
  <si>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</si>
  <si>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</si>
  <si>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</si>
  <si>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</si>
  <si>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</si>
  <si>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</si>
  <si>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</si>
  <si>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</si>
  <si>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</si>
  <si>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</si>
  <si>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</si>
  <si>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</si>
  <si>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</si>
  <si>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</si>
  <si>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</si>
  <si>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</si>
  <si>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</si>
  <si>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</si>
  <si>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</si>
  <si>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</si>
  <si>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</si>
  <si>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</si>
  <si>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</si>
  <si>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</si>
  <si>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</si>
  <si>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</si>
  <si>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</si>
  <si>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</si>
  <si>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</si>
  <si>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</si>
  <si>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</si>
  <si>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</si>
  <si>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</si>
  <si>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</si>
  <si>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</si>
  <si>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</si>
  <si>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</si>
  <si>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</si>
  <si>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</si>
  <si>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</si>
  <si>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</si>
  <si>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</si>
  <si>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</si>
  <si>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</si>
  <si>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</si>
  <si>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</si>
  <si>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</si>
  <si>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</si>
  <si>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</si>
  <si>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</si>
  <si>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</si>
  <si>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</si>
  <si>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</si>
  <si>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</si>
  <si>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</si>
  <si>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</si>
  <si>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</si>
  <si>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</si>
  <si>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</si>
  <si>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</si>
  <si>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</si>
  <si>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</si>
  <si>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</si>
  <si>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</si>
  <si>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</si>
  <si>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</si>
  <si>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</si>
  <si>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</si>
  <si>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</si>
  <si>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</si>
  <si>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</si>
  <si>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</si>
  <si>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</si>
  <si>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</si>
  <si>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</si>
  <si>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</si>
  <si>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</si>
  <si>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</si>
  <si>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</si>
  <si>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</si>
  <si>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</si>
  <si>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</si>
  <si>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</si>
  <si>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</si>
  <si>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</si>
  <si>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</si>
  <si>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</si>
  <si>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</si>
  <si>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</si>
  <si>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</si>
  <si>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</si>
  <si>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</si>
  <si>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</si>
  <si>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</si>
  <si>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</si>
  <si>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</si>
  <si>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</si>
  <si>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</si>
  <si>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</si>
  <si>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</si>
  <si>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</si>
  <si>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</si>
  <si>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</si>
  <si>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</si>
  <si>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</si>
  <si>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</si>
  <si>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</si>
  <si>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</si>
  <si>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</si>
  <si>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</si>
  <si>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</si>
  <si>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</si>
  <si>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</si>
  <si>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</si>
  <si>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</si>
  <si>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</si>
  <si>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</si>
  <si>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</si>
  <si>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</si>
  <si>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</si>
  <si>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</si>
  <si>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</si>
  <si>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</si>
  <si>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</si>
  <si>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</si>
  <si>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</si>
  <si>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</si>
  <si>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</si>
  <si>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</si>
  <si>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</si>
  <si>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</si>
  <si>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</si>
  <si>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</si>
  <si>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</si>
  <si>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</si>
  <si>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</si>
  <si>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</si>
  <si>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</si>
  <si>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</si>
  <si>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</si>
  <si>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</si>
  <si>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</si>
  <si>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</si>
  <si>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</si>
  <si>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</si>
  <si>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</si>
  <si>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</si>
  <si>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</si>
  <si>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</si>
  <si>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</si>
  <si>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</si>
  <si>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</si>
  <si>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</si>
  <si>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</si>
  <si>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</si>
  <si>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</si>
  <si>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</si>
  <si>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</si>
  <si>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</si>
  <si>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</si>
  <si>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</si>
  <si>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</si>
  <si>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</si>
  <si>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</si>
  <si>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</si>
  <si>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</si>
  <si>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</si>
  <si>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</si>
  <si>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</si>
  <si>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</si>
  <si>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</si>
  <si>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</si>
  <si>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</si>
  <si>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</si>
  <si>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</si>
  <si>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</si>
  <si>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</si>
  <si>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</si>
  <si>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</si>
  <si>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</si>
  <si>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</si>
  <si>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</si>
  <si>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</si>
  <si>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</si>
  <si>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</si>
  <si>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</si>
  <si>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</si>
  <si>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</si>
  <si>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</si>
  <si>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</si>
  <si>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</si>
  <si>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</si>
  <si>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</si>
  <si>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</si>
  <si>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</si>
  <si>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</si>
  <si>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</si>
  <si>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</si>
  <si>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</si>
  <si>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</si>
  <si>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</si>
  <si>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</si>
  <si>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</si>
  <si>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</si>
  <si>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</si>
  <si>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</si>
  <si>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</si>
  <si>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</si>
  <si>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</si>
  <si>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</si>
  <si>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</si>
  <si>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</si>
  <si>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</si>
  <si>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</si>
  <si>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</si>
  <si>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</si>
  <si>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</si>
  <si>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</si>
  <si>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</si>
  <si>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</si>
  <si>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</si>
  <si>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</si>
  <si>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</si>
  <si>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</si>
  <si>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</si>
  <si>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</si>
  <si>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</si>
  <si>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</si>
  <si>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</si>
  <si>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</si>
  <si>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</si>
  <si>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</si>
  <si>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</si>
  <si>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</si>
  <si>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</si>
  <si>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</si>
  <si>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</si>
  <si>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</si>
  <si>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</si>
  <si>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</si>
  <si>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</si>
  <si>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</si>
  <si>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</si>
  <si>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</si>
  <si>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</si>
  <si>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</si>
  <si>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</si>
  <si>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</si>
  <si>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</si>
  <si>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</si>
  <si>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</si>
  <si>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</si>
  <si>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</si>
  <si>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</si>
  <si>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</si>
  <si>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</si>
  <si>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</si>
  <si>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</si>
  <si>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</si>
  <si>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</si>
  <si>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</si>
  <si>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</si>
  <si>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</si>
  <si>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</si>
  <si>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</si>
  <si>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</si>
  <si>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</si>
  <si>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</si>
  <si>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</si>
  <si>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</si>
  <si>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</si>
  <si>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</si>
  <si>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</si>
  <si>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</si>
  <si>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</si>
  <si>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</si>
  <si>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</si>
  <si>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</si>
  <si>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</si>
  <si>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</si>
  <si>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</si>
  <si>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</si>
  <si>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</si>
  <si>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</si>
  <si>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</si>
  <si>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</si>
  <si>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</si>
  <si>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</si>
  <si>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</si>
  <si>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</si>
  <si>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</si>
  <si>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</si>
  <si>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</si>
  <si>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</si>
  <si>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</si>
  <si>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</si>
  <si>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</si>
  <si>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</si>
  <si>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</si>
  <si>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</si>
  <si>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</si>
  <si>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</si>
  <si>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</si>
  <si>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</si>
  <si>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</si>
  <si>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</si>
  <si>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</si>
  <si>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</si>
  <si>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</si>
  <si>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</si>
  <si>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</si>
  <si>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</si>
  <si>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</si>
  <si>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</si>
  <si>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</si>
  <si>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</si>
  <si>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</si>
  <si>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</si>
  <si>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</si>
  <si>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</si>
  <si>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</si>
  <si>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</si>
  <si>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</si>
  <si>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</si>
  <si>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</si>
  <si>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</si>
  <si>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</si>
  <si>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</si>
  <si>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</si>
  <si>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</si>
  <si>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</si>
  <si>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</si>
  <si>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</si>
  <si>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</si>
  <si>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</si>
  <si>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</si>
  <si>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</si>
  <si>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</si>
  <si>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</si>
  <si>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</si>
  <si>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</si>
  <si>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</si>
  <si>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</si>
  <si>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</si>
  <si>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</si>
  <si>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</si>
  <si>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</si>
  <si>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</si>
  <si>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</si>
  <si>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</si>
  <si>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</si>
  <si>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</si>
  <si>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</si>
  <si>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</si>
  <si>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</si>
  <si>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</si>
  <si>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</si>
  <si>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</si>
  <si>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</si>
  <si>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</si>
  <si>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</si>
  <si>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</si>
  <si>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</si>
  <si>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</si>
  <si>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</si>
  <si>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</si>
  <si>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</si>
  <si>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</si>
  <si>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</si>
  <si>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</si>
  <si>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</si>
  <si>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</si>
  <si>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</si>
  <si>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</si>
  <si>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</si>
  <si>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</si>
  <si>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</si>
  <si>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</si>
  <si>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</si>
  <si>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</si>
  <si>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</si>
  <si>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</si>
  <si>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</si>
  <si>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</si>
  <si>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</si>
  <si>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</si>
  <si>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</si>
  <si>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</si>
  <si>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</si>
  <si>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</si>
  <si>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</si>
  <si>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</si>
  <si>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</si>
  <si>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</si>
  <si>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</si>
  <si>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</si>
  <si>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</si>
  <si>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</si>
  <si>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</si>
  <si>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</si>
  <si>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</si>
  <si>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</si>
  <si>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</si>
  <si>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</si>
  <si>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</si>
  <si>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</si>
  <si>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</si>
  <si>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</si>
  <si>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</si>
  <si>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</si>
  <si>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</si>
  <si>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</si>
  <si>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</si>
  <si>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</si>
  <si>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</si>
  <si>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</si>
  <si>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</si>
  <si>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</si>
  <si>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</si>
  <si>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</si>
  <si>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</si>
  <si>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</si>
  <si>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</si>
  <si>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</si>
  <si>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</si>
  <si>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</si>
  <si>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</si>
  <si>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</si>
  <si>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</si>
  <si>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</si>
  <si>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</si>
  <si>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</si>
  <si>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</si>
  <si>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</si>
  <si>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</si>
  <si>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</si>
  <si>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</si>
  <si>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</si>
  <si>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</si>
  <si>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</si>
  <si>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</si>
  <si>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</si>
  <si>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</si>
  <si>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</si>
  <si>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</si>
  <si>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</si>
  <si>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</si>
  <si>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</si>
  <si>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</si>
  <si>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</si>
  <si>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</si>
  <si>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</si>
  <si>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</si>
  <si>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</si>
  <si>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</si>
  <si>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</si>
  <si>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</si>
  <si>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</si>
  <si>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</si>
  <si>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</si>
  <si>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</si>
  <si>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</si>
  <si>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</si>
  <si>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</si>
  <si>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</si>
  <si>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</si>
  <si>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</si>
  <si>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</si>
  <si>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</si>
  <si>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</si>
  <si>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</si>
  <si>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</si>
  <si>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</si>
  <si>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</si>
  <si>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</si>
  <si>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</si>
  <si>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</si>
  <si>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</si>
  <si>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</si>
  <si>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</si>
  <si>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</si>
  <si>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</si>
  <si>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</si>
  <si>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</si>
  <si>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</si>
  <si>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</si>
  <si>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</si>
  <si>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</si>
  <si>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</si>
  <si>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</si>
  <si>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</si>
  <si>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</si>
  <si>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</si>
  <si>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</si>
  <si>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</si>
  <si>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</si>
  <si>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</si>
  <si>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</si>
  <si>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</si>
  <si>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</si>
  <si>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</si>
  <si>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</si>
  <si>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</si>
  <si>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</si>
  <si>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</si>
  <si>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</si>
  <si>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</si>
  <si>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</si>
  <si>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</si>
  <si>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</si>
  <si>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</si>
  <si>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</si>
  <si>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</si>
  <si>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</si>
  <si>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</si>
  <si>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</si>
  <si>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</si>
  <si>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</si>
  <si>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</si>
  <si>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</si>
  <si>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</si>
  <si>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</si>
  <si>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</si>
  <si>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</si>
  <si>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</si>
  <si>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</si>
  <si>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</si>
  <si>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</si>
  <si>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</si>
  <si>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</si>
  <si>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</si>
  <si>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</si>
  <si>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</si>
  <si>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</si>
  <si>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</si>
  <si>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</si>
  <si>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</si>
  <si>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</si>
  <si>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</si>
  <si>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</si>
  <si>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</si>
  <si>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</si>
  <si>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</si>
  <si>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</si>
  <si>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</si>
  <si>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</si>
  <si>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</si>
  <si>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</si>
  <si>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</si>
  <si>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</si>
  <si>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</si>
  <si>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</si>
  <si>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</si>
  <si>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</si>
  <si>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</si>
  <si>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</si>
  <si>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</si>
  <si>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</si>
  <si>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</si>
  <si>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</si>
  <si>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</si>
  <si>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</si>
  <si>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</si>
  <si>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</si>
  <si>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</si>
  <si>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</si>
  <si>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</si>
  <si>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</si>
  <si>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</si>
  <si>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</si>
  <si>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</si>
  <si>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</si>
  <si>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</si>
  <si>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</si>
  <si>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</si>
  <si>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</si>
  <si>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</si>
  <si>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</si>
  <si>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</si>
  <si>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</si>
  <si>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</si>
  <si>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</si>
  <si>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</si>
  <si>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</si>
  <si>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</si>
  <si>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</si>
  <si>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</si>
  <si>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</si>
  <si>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</si>
  <si>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</si>
  <si>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</si>
  <si>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</si>
  <si>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</si>
  <si>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</si>
  <si>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</si>
  <si>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</si>
  <si>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</si>
  <si>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</si>
  <si>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</si>
  <si>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</si>
  <si>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</si>
  <si>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</si>
  <si>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</si>
  <si>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</si>
  <si>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</si>
  <si>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</si>
  <si>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</si>
  <si>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</si>
  <si>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</si>
  <si>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</si>
  <si>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</si>
  <si>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</si>
  <si>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</si>
  <si>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</si>
  <si>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</si>
  <si>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</si>
  <si>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</si>
  <si>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</si>
  <si>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</si>
  <si>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</si>
  <si>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</si>
  <si>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</si>
  <si>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</si>
  <si>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</si>
  <si>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</si>
  <si>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</si>
  <si>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</si>
  <si>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</si>
  <si>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</si>
  <si>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</si>
  <si>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</si>
  <si>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</si>
  <si>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</si>
  <si>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</si>
  <si>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</si>
  <si>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</si>
  <si>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</si>
  <si>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</si>
  <si>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</si>
  <si>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</si>
  <si>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</si>
  <si>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</si>
  <si>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</si>
  <si>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</si>
  <si>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</si>
  <si>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</si>
  <si>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</si>
  <si>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</si>
  <si>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</si>
  <si>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</si>
  <si>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</si>
  <si>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</si>
  <si>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</si>
  <si>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</si>
  <si>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</si>
  <si>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</si>
  <si>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</si>
  <si>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</si>
  <si>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</si>
  <si>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</si>
  <si>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</si>
  <si>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</si>
  <si>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</si>
  <si>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</si>
  <si>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</si>
  <si>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</si>
  <si>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</si>
  <si>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</si>
  <si>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</si>
  <si>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</si>
  <si>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</si>
  <si>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</si>
  <si>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</si>
  <si>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</si>
  <si>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</si>
  <si>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</si>
  <si>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</si>
  <si>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</si>
  <si>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</si>
  <si>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</si>
  <si>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</si>
  <si>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</si>
  <si>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</si>
  <si>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</si>
  <si>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</si>
  <si>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</si>
  <si>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</si>
  <si>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</si>
  <si>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</si>
  <si>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</si>
  <si>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</si>
  <si>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</si>
  <si>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</si>
  <si>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</si>
  <si>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</si>
  <si>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</si>
  <si>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</si>
  <si>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</si>
  <si>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</si>
  <si>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</si>
  <si>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</si>
  <si>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</si>
  <si>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</si>
  <si>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</si>
  <si>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</si>
  <si>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</si>
  <si>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</si>
  <si>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</si>
  <si>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</si>
  <si>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</si>
  <si>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</si>
  <si>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</si>
  <si>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</si>
  <si>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</si>
  <si>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</si>
  <si>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</si>
  <si>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</si>
  <si>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</si>
  <si>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</si>
  <si>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</si>
  <si>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</si>
  <si>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</si>
  <si>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</si>
  <si>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</si>
  <si>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</si>
  <si>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</si>
  <si>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</si>
  <si>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</si>
  <si>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</si>
  <si>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</si>
  <si>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</si>
  <si>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</si>
  <si>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</si>
  <si>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</si>
  <si>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</si>
  <si>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</si>
  <si>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</si>
  <si>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</si>
  <si>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</si>
  <si>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</si>
  <si>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</si>
  <si>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</si>
  <si>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</si>
  <si>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</si>
  <si>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</si>
  <si>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</si>
  <si>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</si>
  <si>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</si>
  <si>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</si>
  <si>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</si>
  <si>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</si>
  <si>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</si>
  <si>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</si>
  <si>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</si>
  <si>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</si>
  <si>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</si>
  <si>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</si>
  <si>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</si>
  <si>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</si>
  <si>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</si>
  <si>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</si>
  <si>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</si>
  <si>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</si>
  <si>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</si>
  <si>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</si>
  <si>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</si>
  <si>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</si>
  <si>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</si>
  <si>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</si>
  <si>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</si>
  <si>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</si>
  <si>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</si>
  <si>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</si>
  <si>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</si>
  <si>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</si>
  <si>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</si>
  <si>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</si>
  <si>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</si>
  <si>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</si>
  <si>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</si>
  <si>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</si>
  <si>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</si>
  <si>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</si>
  <si>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</si>
  <si>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</si>
  <si>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</si>
  <si>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</si>
  <si>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</si>
  <si>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</si>
  <si>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</si>
  <si>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</si>
  <si>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</si>
  <si>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</si>
  <si>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</si>
  <si>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</si>
  <si>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</si>
  <si>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</si>
  <si>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</si>
  <si>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</si>
  <si>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</si>
  <si>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</si>
  <si>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</si>
  <si>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</si>
  <si>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</si>
  <si>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</si>
  <si>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</si>
  <si>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</si>
  <si>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</si>
  <si>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</si>
  <si>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</si>
  <si>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</si>
  <si>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</si>
  <si>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</si>
  <si>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</si>
  <si>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</si>
  <si>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</si>
  <si>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</si>
  <si>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</si>
  <si>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</si>
  <si>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</si>
  <si>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</si>
  <si>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</si>
  <si>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</si>
  <si>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</si>
  <si>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</si>
  <si>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</si>
  <si>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</si>
  <si>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</si>
  <si>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</si>
  <si>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</si>
  <si>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</si>
  <si>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</si>
  <si>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</si>
  <si>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</si>
  <si>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</si>
  <si>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</si>
  <si>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</si>
  <si>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</si>
  <si>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</si>
  <si>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</si>
  <si>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</si>
  <si>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</si>
  <si>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</si>
  <si>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</si>
  <si>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</si>
  <si>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</si>
  <si>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</si>
  <si>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</si>
  <si>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</si>
  <si>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</si>
  <si>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</si>
  <si>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</si>
  <si>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</si>
  <si>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</si>
  <si>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</si>
  <si>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</si>
  <si>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</si>
  <si>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</si>
  <si>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</si>
  <si>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</si>
  <si>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</si>
  <si>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</si>
  <si>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</si>
  <si>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</si>
  <si>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</si>
  <si>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</si>
  <si>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</si>
  <si>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</si>
  <si>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</si>
  <si>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</si>
  <si>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</si>
  <si>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</si>
  <si>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</si>
  <si>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</si>
  <si>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</si>
  <si>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</si>
  <si>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</si>
  <si>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</si>
  <si>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</si>
  <si>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</si>
  <si>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</si>
  <si>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</si>
  <si>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</si>
  <si>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</si>
  <si>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</si>
  <si>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</si>
  <si>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</si>
  <si>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</si>
  <si>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</si>
  <si>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</si>
  <si>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</si>
  <si>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</si>
  <si>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</si>
  <si>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</si>
  <si>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</si>
  <si>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</si>
  <si>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</si>
  <si>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</si>
  <si>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</si>
  <si>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</si>
  <si>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</si>
  <si>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</si>
  <si>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</si>
  <si>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</si>
  <si>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</si>
  <si>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</si>
  <si>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</si>
  <si>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</si>
  <si>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</si>
  <si>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</si>
  <si>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</si>
  <si>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</si>
  <si>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</si>
  <si>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</si>
  <si>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</si>
  <si>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</si>
  <si>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</si>
  <si>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</si>
  <si>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</si>
  <si>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</si>
  <si>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</si>
  <si>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</si>
  <si>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</si>
  <si>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</si>
  <si>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</si>
  <si>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</si>
  <si>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</si>
  <si>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</si>
  <si>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</si>
  <si>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</si>
  <si>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</si>
  <si>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</si>
  <si>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</si>
  <si>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</si>
  <si>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</si>
  <si>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</si>
  <si>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</si>
  <si>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</si>
  <si>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</si>
  <si>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</si>
  <si>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</si>
  <si>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</si>
  <si>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</si>
  <si>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</si>
  <si>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</si>
  <si>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</si>
  <si>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</si>
  <si>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</si>
  <si>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</si>
  <si>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</si>
  <si>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</si>
  <si>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</si>
  <si>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</si>
  <si>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</si>
  <si>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</si>
  <si>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</si>
  <si>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</si>
  <si>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</si>
  <si>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</si>
  <si>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</si>
  <si>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</si>
  <si>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</si>
  <si>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</si>
  <si>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</si>
  <si>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</si>
  <si>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</si>
  <si>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</si>
  <si>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</si>
  <si>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</si>
  <si>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</si>
  <si>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</si>
  <si>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</si>
  <si>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</si>
  <si>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</si>
  <si>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</si>
  <si>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</si>
  <si>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</si>
  <si>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</si>
  <si>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</si>
  <si>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</si>
  <si>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</si>
  <si>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</si>
  <si>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</si>
  <si>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</si>
  <si>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</si>
  <si>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</si>
  <si>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</si>
  <si>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</si>
  <si>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</si>
  <si>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</si>
  <si>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</si>
  <si>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</si>
  <si>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</si>
  <si>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</si>
  <si>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</si>
  <si>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</si>
  <si>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</si>
  <si>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</si>
  <si>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</si>
  <si>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</si>
  <si>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</si>
  <si>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</si>
  <si>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</si>
  <si>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</si>
  <si>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</si>
  <si>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</si>
  <si>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</si>
  <si>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</si>
  <si>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</si>
  <si>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</si>
  <si>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</si>
  <si>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</si>
  <si>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</si>
  <si>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</si>
  <si>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</si>
  <si>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</si>
  <si>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</si>
  <si>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</si>
  <si>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</si>
  <si>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</si>
  <si>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</si>
  <si>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</si>
  <si>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</si>
  <si>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</si>
  <si>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</si>
  <si>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</si>
  <si>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</si>
  <si>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</si>
  <si>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</si>
  <si>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</si>
  <si>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</si>
  <si>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</si>
  <si>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</si>
  <si>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</si>
  <si>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</si>
  <si>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</si>
  <si>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</si>
  <si>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</si>
  <si>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</si>
  <si>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</si>
  <si>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</si>
  <si>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</si>
  <si>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</si>
  <si>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</si>
  <si>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</si>
  <si>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</si>
  <si>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</si>
  <si>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</si>
  <si>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</si>
  <si>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</si>
  <si>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</si>
  <si>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</si>
  <si>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</si>
  <si>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</si>
  <si>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</si>
  <si>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</si>
  <si>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</si>
  <si>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</si>
  <si>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</si>
  <si>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</si>
  <si>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</si>
  <si>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</si>
  <si>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</si>
  <si>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</si>
  <si>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</si>
  <si>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</si>
  <si>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</si>
  <si>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</si>
  <si>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</si>
  <si>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</si>
  <si>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</si>
  <si>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</si>
  <si>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</si>
  <si>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</si>
  <si>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</si>
  <si>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</si>
  <si>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</si>
  <si>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</si>
  <si>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</si>
  <si>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</si>
  <si>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</si>
  <si>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</si>
  <si>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</si>
  <si>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</si>
  <si>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</si>
  <si>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</si>
  <si>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</si>
  <si>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</si>
  <si>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</si>
  <si>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</si>
  <si>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</si>
  <si>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</si>
  <si>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</si>
  <si>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</si>
  <si>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</si>
  <si>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</si>
  <si>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</si>
  <si>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</si>
  <si>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</si>
  <si>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</si>
  <si>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</si>
  <si>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</si>
  <si>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</si>
  <si>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</si>
  <si>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</si>
  <si>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</si>
  <si>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</si>
  <si>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</si>
  <si>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</si>
  <si>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</si>
  <si>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</si>
  <si>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</si>
  <si>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</si>
  <si>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</si>
  <si>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</si>
  <si>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</si>
  <si>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</si>
  <si>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</si>
  <si>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</si>
  <si>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</si>
  <si>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</si>
  <si>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</si>
  <si>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</si>
  <si>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</si>
  <si>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</si>
  <si>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</si>
  <si>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</si>
  <si>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</si>
  <si>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</si>
  <si>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</si>
  <si>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</si>
  <si>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</si>
  <si>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</si>
  <si>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</si>
  <si>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</si>
  <si>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</si>
  <si>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</si>
  <si>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</si>
  <si>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</si>
  <si>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</si>
  <si>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</si>
  <si>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</si>
  <si>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</si>
  <si>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</si>
  <si>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</si>
  <si>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</si>
  <si>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</si>
  <si>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</si>
  <si>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</si>
  <si>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</si>
  <si>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</si>
  <si>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</si>
  <si>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</si>
  <si>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</si>
  <si>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</si>
  <si>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</si>
  <si>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</si>
  <si>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</si>
  <si>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</si>
  <si>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</si>
  <si>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</si>
  <si>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</si>
  <si>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</si>
  <si>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</si>
  <si>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</si>
  <si>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</si>
  <si>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</si>
  <si>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</si>
  <si>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</si>
  <si>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</si>
  <si>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</si>
  <si>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</si>
  <si>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</si>
  <si>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</si>
  <si>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</si>
  <si>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</si>
  <si>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</si>
  <si>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</si>
  <si>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</si>
  <si>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</si>
  <si>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</si>
  <si>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</si>
  <si>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</si>
  <si>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</si>
  <si>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</si>
  <si>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</si>
  <si>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</si>
  <si>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</si>
  <si>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</si>
  <si>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</si>
  <si>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</si>
  <si>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</si>
  <si>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</si>
  <si>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</si>
  <si>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</si>
  <si>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</si>
  <si>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</si>
  <si>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</si>
  <si>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</si>
  <si>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</si>
  <si>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</si>
  <si>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</si>
  <si>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</si>
  <si>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</si>
  <si>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</si>
  <si>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</si>
  <si>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</si>
  <si>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</si>
  <si>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</si>
  <si>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</si>
  <si>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</si>
  <si>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</si>
  <si>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</si>
  <si>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</si>
  <si>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</si>
  <si>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</si>
  <si>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</si>
  <si>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</si>
  <si>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</si>
  <si>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</si>
  <si>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</si>
  <si>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</si>
  <si>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</si>
  <si>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</si>
  <si>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</si>
  <si>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</si>
  <si>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</si>
  <si>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</si>
  <si>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</si>
  <si>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</si>
  <si>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</si>
  <si>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</si>
  <si>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</si>
  <si>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</si>
  <si>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</si>
  <si>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</si>
  <si>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</si>
  <si>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</si>
  <si>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</si>
  <si>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</si>
  <si>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</si>
  <si>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</si>
  <si>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</si>
  <si>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</si>
  <si>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</si>
  <si>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</si>
  <si>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</si>
  <si>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</si>
  <si>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</si>
  <si>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</si>
  <si>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</si>
  <si>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</si>
  <si>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</si>
  <si>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</si>
  <si>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</si>
  <si>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</si>
  <si>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</si>
  <si>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</si>
  <si>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</si>
  <si>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</si>
  <si>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</si>
  <si>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</si>
  <si>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</si>
  <si>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</si>
  <si>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</si>
  <si>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</si>
  <si>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</si>
  <si>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</si>
  <si>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</si>
  <si>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</si>
  <si>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</si>
  <si>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</si>
  <si>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</si>
  <si>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</si>
  <si>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</si>
  <si>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</si>
  <si>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</si>
  <si>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</si>
  <si>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</si>
  <si>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</si>
  <si>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</si>
  <si>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</si>
  <si>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</si>
  <si>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</si>
  <si>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</si>
  <si>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</si>
  <si>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</si>
  <si>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</si>
  <si>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</si>
  <si>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</si>
  <si>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</si>
  <si>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</si>
  <si>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</si>
  <si>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</si>
  <si>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</si>
  <si>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</si>
  <si>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</si>
  <si>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</si>
  <si>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</si>
  <si>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</si>
  <si>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</si>
  <si>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</si>
  <si>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</si>
  <si>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</si>
  <si>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</si>
  <si>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</si>
  <si>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</si>
  <si>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</si>
  <si>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</si>
  <si>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</si>
  <si>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</si>
  <si>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</si>
  <si>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</si>
  <si>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</si>
  <si>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</si>
  <si>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</si>
  <si>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</si>
  <si>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</si>
  <si>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</si>
  <si>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</si>
  <si>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</si>
  <si>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</si>
  <si>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</si>
  <si>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</si>
  <si>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</si>
  <si>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</si>
  <si>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</si>
  <si>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</si>
  <si>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</si>
  <si>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</si>
  <si>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</si>
  <si>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</si>
  <si>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</si>
  <si>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</si>
  <si>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</si>
  <si>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</si>
  <si>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</si>
  <si>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</si>
  <si>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</si>
  <si>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</si>
  <si>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</si>
  <si>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</si>
  <si>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</si>
  <si>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</si>
  <si>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</si>
  <si>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</si>
  <si>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</si>
  <si>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</si>
  <si>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</si>
  <si>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</si>
  <si>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</si>
  <si>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</si>
  <si>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</si>
  <si>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</si>
  <si>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</si>
  <si>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</si>
  <si>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</si>
  <si>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</si>
  <si>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</si>
  <si>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</si>
  <si>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</si>
  <si>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</si>
  <si>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</si>
  <si>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</si>
  <si>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</si>
  <si>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</si>
  <si>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</si>
  <si>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</si>
  <si>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</si>
  <si>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</si>
  <si>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</si>
  <si>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</si>
  <si>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</si>
  <si>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</si>
  <si>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</si>
  <si>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</si>
  <si>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</si>
  <si>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</si>
  <si>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</si>
  <si>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</si>
  <si>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</si>
  <si>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</si>
  <si>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</si>
  <si>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</si>
  <si>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</si>
  <si>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</si>
  <si>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</si>
  <si>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</si>
  <si>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</si>
  <si>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</si>
  <si>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</si>
  <si>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</si>
  <si>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</si>
  <si>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</si>
  <si>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</si>
  <si>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</si>
  <si>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</si>
  <si>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</si>
  <si>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</si>
  <si>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</si>
  <si>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</si>
  <si>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</si>
  <si>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</si>
  <si>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</si>
  <si>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</si>
  <si>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</si>
  <si>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</si>
  <si>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</si>
  <si>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</si>
  <si>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</si>
  <si>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</si>
  <si>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</si>
  <si>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</si>
  <si>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</si>
  <si>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</si>
  <si>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</si>
  <si>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</si>
  <si>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</si>
  <si>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</si>
  <si>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</si>
  <si>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</si>
  <si>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</si>
  <si>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</si>
  <si>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</si>
  <si>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</si>
  <si>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</si>
  <si>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</si>
  <si>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</si>
  <si>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</si>
  <si>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</si>
  <si>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</si>
  <si>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</si>
  <si>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</si>
  <si>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</si>
  <si>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</si>
  <si>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</si>
  <si>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</si>
  <si>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</si>
  <si>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</si>
  <si>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</si>
  <si>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</si>
  <si>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</si>
  <si>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</si>
  <si>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</si>
  <si>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</si>
  <si>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</si>
  <si>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</si>
  <si>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</si>
  <si>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</si>
  <si>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</si>
  <si>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</si>
  <si>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</si>
  <si>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</si>
  <si>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</si>
  <si>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</si>
  <si>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</si>
  <si>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</si>
  <si>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</si>
  <si>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</si>
  <si>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</si>
  <si>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</si>
  <si>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</si>
  <si>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</si>
  <si>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</si>
  <si>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</si>
  <si>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</si>
  <si>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</si>
  <si>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</si>
  <si>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</si>
  <si>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</si>
  <si>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</si>
  <si>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</si>
  <si>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</si>
  <si>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</si>
  <si>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</si>
  <si>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</si>
  <si>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</si>
  <si>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</si>
  <si>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</si>
  <si>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</si>
  <si>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</si>
  <si>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</si>
  <si>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</si>
  <si>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</si>
  <si>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</si>
  <si>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</si>
  <si>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</si>
  <si>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</si>
  <si>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</si>
  <si>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</si>
  <si>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</si>
  <si>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</si>
  <si>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</si>
  <si>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</si>
  <si>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</si>
  <si>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</si>
  <si>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</si>
  <si>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</si>
  <si>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</si>
  <si>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</si>
  <si>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</si>
  <si>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</si>
  <si>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</si>
  <si>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</si>
  <si>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</si>
  <si>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</si>
  <si>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</si>
  <si>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</si>
  <si>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</si>
  <si>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</si>
  <si>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</si>
  <si>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</si>
  <si>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</si>
  <si>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</si>
  <si>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</si>
  <si>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</si>
  <si>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</si>
  <si>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</si>
  <si>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</si>
  <si>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</si>
  <si>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</si>
  <si>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</si>
  <si>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</si>
  <si>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</si>
  <si>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</si>
  <si>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</si>
  <si>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</si>
  <si>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</si>
  <si>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</si>
  <si>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</si>
  <si>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</si>
  <si>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</si>
  <si>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</si>
  <si>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</si>
  <si>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</si>
  <si>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</si>
  <si>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</si>
  <si>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</si>
  <si>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</si>
  <si>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</si>
  <si>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</si>
  <si>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</si>
  <si>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</si>
  <si>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</si>
  <si>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</si>
  <si>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</si>
  <si>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</si>
  <si>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</si>
  <si>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</si>
  <si>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</si>
  <si>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</si>
  <si>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</si>
  <si>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</si>
  <si>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</si>
  <si>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</si>
  <si>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</si>
  <si>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</si>
  <si>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</si>
  <si>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</si>
  <si>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</si>
  <si>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</si>
  <si>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</si>
  <si>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</si>
  <si>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</si>
  <si>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</si>
  <si>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</si>
  <si>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</si>
  <si>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</si>
  <si>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</si>
  <si>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</si>
  <si>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</si>
  <si>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</si>
  <si>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</si>
  <si>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</si>
  <si>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</si>
  <si>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</si>
  <si>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</si>
  <si>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</si>
  <si>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</si>
  <si>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</si>
  <si>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</si>
  <si>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</si>
  <si>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</si>
  <si>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</si>
  <si>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</si>
  <si>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</si>
  <si>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</si>
  <si>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</si>
  <si>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</si>
  <si>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</si>
  <si>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</si>
  <si>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</si>
  <si>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</si>
  <si>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</si>
  <si>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</si>
  <si>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</si>
  <si>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</si>
  <si>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</si>
  <si>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</si>
  <si>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</si>
  <si>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</si>
  <si>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</si>
  <si>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</si>
  <si>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</si>
  <si>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</si>
  <si>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</si>
  <si>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</si>
  <si>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</si>
  <si>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</si>
  <si>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</si>
  <si>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</si>
  <si>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</si>
  <si>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</si>
  <si>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</si>
  <si>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</si>
  <si>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</si>
  <si>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</si>
  <si>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</si>
  <si>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</si>
  <si>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</si>
  <si>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</si>
  <si>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</si>
  <si>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</si>
  <si>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</si>
  <si>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</si>
  <si>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</si>
  <si>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</si>
  <si>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</si>
  <si>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</si>
  <si>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</si>
  <si>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</si>
  <si>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</si>
  <si>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</si>
  <si>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</si>
  <si>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</si>
  <si>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</si>
  <si>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</si>
  <si>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</si>
  <si>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</si>
  <si>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</si>
  <si>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</si>
  <si>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</si>
  <si>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</si>
  <si>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</si>
  <si>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</si>
  <si>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</si>
  <si>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</si>
  <si>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</si>
  <si>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</si>
  <si>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</si>
  <si>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</si>
  <si>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</si>
  <si>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</si>
  <si>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</si>
  <si>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</si>
  <si>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</si>
  <si>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</si>
  <si>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</si>
  <si>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</si>
  <si>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</si>
  <si>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</si>
  <si>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</si>
  <si>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</si>
  <si>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</si>
  <si>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</si>
  <si>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</si>
  <si>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</si>
  <si>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</si>
  <si>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</si>
  <si>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</si>
  <si>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</si>
  <si>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</si>
  <si>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</si>
  <si>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</si>
  <si>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</si>
  <si>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</si>
  <si>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</si>
  <si>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</si>
  <si>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</si>
  <si>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</si>
  <si>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</si>
  <si>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</si>
  <si>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</si>
  <si>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</si>
  <si>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</si>
  <si>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</si>
  <si>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</si>
  <si>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</si>
  <si>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</si>
  <si>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</si>
  <si>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</si>
  <si>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</si>
  <si>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</si>
  <si>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</si>
  <si>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</si>
  <si>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</si>
  <si>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</si>
  <si>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</si>
  <si>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</si>
  <si>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</si>
  <si>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</si>
  <si>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</si>
  <si>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</si>
  <si>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</si>
  <si>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</si>
  <si>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</si>
  <si>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</si>
  <si>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</si>
  <si>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</si>
  <si>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</si>
  <si>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</si>
  <si>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</si>
  <si>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</si>
  <si>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</si>
  <si>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</si>
  <si>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</si>
  <si>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</si>
  <si>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</si>
  <si>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</si>
  <si>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</si>
  <si>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</si>
  <si>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</si>
  <si>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</si>
  <si>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</si>
  <si>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</si>
  <si>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</si>
  <si>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</si>
  <si>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</si>
  <si>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</si>
  <si>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</si>
  <si>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</si>
  <si>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</si>
  <si>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</si>
  <si>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</si>
  <si>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</si>
  <si>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</si>
  <si>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</si>
  <si>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</si>
  <si>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</si>
  <si>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</si>
  <si>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</si>
  <si>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</si>
  <si>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</si>
  <si>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</si>
  <si>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</si>
  <si>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</si>
  <si>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</si>
  <si>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</si>
  <si>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</si>
  <si>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</si>
  <si>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</si>
  <si>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</si>
  <si>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</si>
  <si>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</si>
  <si>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</si>
  <si>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</si>
  <si>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</si>
  <si>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</si>
  <si>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</si>
  <si>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</si>
  <si>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</si>
  <si>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</si>
  <si>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</si>
  <si>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</si>
  <si>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</si>
  <si>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</si>
  <si>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</si>
  <si>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</si>
  <si>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</si>
  <si>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</si>
  <si>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</si>
  <si>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</si>
  <si>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</si>
  <si>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</si>
  <si>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</si>
  <si>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</si>
  <si>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</si>
  <si>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</si>
  <si>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</si>
  <si>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</si>
  <si>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</si>
  <si>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</si>
  <si>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</si>
  <si>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</si>
  <si>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</si>
  <si>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</si>
  <si>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</si>
  <si>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</si>
  <si>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</si>
  <si>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</si>
  <si>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</si>
  <si>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</si>
  <si>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</si>
  <si>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</si>
  <si>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</si>
  <si>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</si>
  <si>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</si>
  <si>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</si>
  <si>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</si>
  <si>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</si>
  <si>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</si>
  <si>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</si>
  <si>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</si>
  <si>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</si>
  <si>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</si>
  <si>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</si>
  <si>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</si>
  <si>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</si>
  <si>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</si>
  <si>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</si>
  <si>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</si>
  <si>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</si>
  <si>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</si>
  <si>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</si>
  <si>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</si>
  <si>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</si>
  <si>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</si>
  <si>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</si>
  <si>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</si>
  <si>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</si>
  <si>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</si>
  <si>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</si>
  <si>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</si>
  <si>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</si>
  <si>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</si>
  <si>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</si>
  <si>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</si>
  <si>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</si>
  <si>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</si>
  <si>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</si>
  <si>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</si>
  <si>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</si>
  <si>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</si>
  <si>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</si>
  <si>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</si>
  <si>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</si>
  <si>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</si>
  <si>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</si>
  <si>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</si>
  <si>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</si>
  <si>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</si>
  <si>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</si>
  <si>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</si>
  <si>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</si>
  <si>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</si>
  <si>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</si>
  <si>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</si>
  <si>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</si>
  <si>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</si>
  <si>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</si>
  <si>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</si>
  <si>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</si>
  <si>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</si>
  <si>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</si>
  <si>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</si>
  <si>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</si>
  <si>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</si>
  <si>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</si>
  <si>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</si>
  <si>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</si>
  <si>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</si>
  <si>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</si>
  <si>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</si>
  <si>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</si>
  <si>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</si>
  <si>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</si>
  <si>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</si>
  <si>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</si>
  <si>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</si>
  <si>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</si>
  <si>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</si>
  <si>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</si>
  <si>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</si>
  <si>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</si>
  <si>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</si>
  <si>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</si>
  <si>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</si>
  <si>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</si>
  <si>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</si>
  <si>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</si>
  <si>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</si>
  <si>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</si>
  <si>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</si>
  <si>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</si>
  <si>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</si>
  <si>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</si>
  <si>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</si>
  <si>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</si>
  <si>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</si>
  <si>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</si>
  <si>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</si>
  <si>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</si>
  <si>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</si>
  <si>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</si>
  <si>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</si>
  <si>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</si>
  <si>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</si>
  <si>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</si>
  <si>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</si>
  <si>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</si>
  <si>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</si>
  <si>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</si>
  <si>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</si>
  <si>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</si>
  <si>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</si>
  <si>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</si>
  <si>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</si>
  <si>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</si>
  <si>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</si>
  <si>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</si>
  <si>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</si>
  <si>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</si>
  <si>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</si>
  <si>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</si>
  <si>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</si>
  <si>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</si>
  <si>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</si>
  <si>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</si>
  <si>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</si>
  <si>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</si>
  <si>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</si>
  <si>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</si>
  <si>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</si>
  <si>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</si>
  <si>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</si>
  <si>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</si>
  <si>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</si>
  <si>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</si>
  <si>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</si>
  <si>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</si>
  <si>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</si>
  <si>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</si>
  <si>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</si>
  <si>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</si>
  <si>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</si>
  <si>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</si>
  <si>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</si>
  <si>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</si>
  <si>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</si>
  <si>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</si>
  <si>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</si>
  <si>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</si>
  <si>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</si>
  <si>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</si>
  <si>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</si>
  <si>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</si>
  <si>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</si>
  <si>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</si>
  <si>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</si>
  <si>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</si>
  <si>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</si>
  <si>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</si>
  <si>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</si>
  <si>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</si>
  <si>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</si>
  <si>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</si>
  <si>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</si>
  <si>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</si>
  <si>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</si>
  <si>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</si>
  <si>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</si>
  <si>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</si>
  <si>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</si>
  <si>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</si>
  <si>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</si>
  <si>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</si>
  <si>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</si>
  <si>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</si>
  <si>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</si>
  <si>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</si>
  <si>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</si>
  <si>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</si>
  <si>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</si>
  <si>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</si>
  <si>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</si>
  <si>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</si>
  <si>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</si>
  <si>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</si>
  <si>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</si>
  <si>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</si>
  <si>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</si>
  <si>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</si>
  <si>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</si>
  <si>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</si>
  <si>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</si>
  <si>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</si>
  <si>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</si>
  <si>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</si>
  <si>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</si>
  <si>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</si>
  <si>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</si>
  <si>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</si>
  <si>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</si>
  <si>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</si>
  <si>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</si>
  <si>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</si>
  <si>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</si>
  <si>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</si>
  <si>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</si>
  <si>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</si>
  <si>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</si>
  <si>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</si>
  <si>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</si>
  <si>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</si>
  <si>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</si>
  <si>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</si>
  <si>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</si>
  <si>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</si>
  <si>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</si>
  <si>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</si>
  <si>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</si>
  <si>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</si>
  <si>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</si>
  <si>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</si>
  <si>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</si>
  <si>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</si>
  <si>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</si>
  <si>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</si>
  <si>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</si>
  <si>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</si>
  <si>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</si>
  <si>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</si>
  <si>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</si>
  <si>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</si>
  <si>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</si>
  <si>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</si>
  <si>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</si>
  <si>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</si>
  <si>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</si>
  <si>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</si>
  <si>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</si>
  <si>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</si>
  <si>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</si>
  <si>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</si>
  <si>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</si>
  <si>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</si>
  <si>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</si>
  <si>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</si>
  <si>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</si>
  <si>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</si>
  <si>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</si>
  <si>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</si>
  <si>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</si>
  <si>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</si>
  <si>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</si>
  <si>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</si>
  <si>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</si>
  <si>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</si>
  <si>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</si>
  <si>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</si>
  <si>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</si>
  <si>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</si>
  <si>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</si>
  <si>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</si>
  <si>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</si>
  <si>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</si>
  <si>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</si>
  <si>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</si>
  <si>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</si>
  <si>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</si>
  <si>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</si>
  <si>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</si>
  <si>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</si>
  <si>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</si>
  <si>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</si>
  <si>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</si>
  <si>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</si>
  <si>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</si>
  <si>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</si>
  <si>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</si>
  <si>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</si>
  <si>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</si>
  <si>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</si>
  <si>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</si>
  <si>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</si>
  <si>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</si>
  <si>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</si>
  <si>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</si>
  <si>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</si>
  <si>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</si>
  <si>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</si>
  <si>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</si>
  <si>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</si>
  <si>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</si>
  <si>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</si>
  <si>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</si>
  <si>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</si>
  <si>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</si>
  <si>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</si>
  <si>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</si>
  <si>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</si>
  <si>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</si>
  <si>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</si>
  <si>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</si>
  <si>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</si>
  <si>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</si>
  <si>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</si>
  <si>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</si>
  <si>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</si>
  <si>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</si>
  <si>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</si>
  <si>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</si>
  <si>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</si>
  <si>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</si>
  <si>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</si>
  <si>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</si>
  <si>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</si>
  <si>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</si>
  <si>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</si>
  <si>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</si>
  <si>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</si>
  <si>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</si>
  <si>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</si>
  <si>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</si>
  <si>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</si>
  <si>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</si>
  <si>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</si>
  <si>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</si>
  <si>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</si>
  <si>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</si>
  <si>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</si>
  <si>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</si>
  <si>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</si>
  <si>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</si>
  <si>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</si>
  <si>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</si>
  <si>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</si>
  <si>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</si>
  <si>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</si>
  <si>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</si>
  <si>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</si>
  <si>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</si>
  <si>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</si>
  <si>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</si>
  <si>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</si>
  <si>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</si>
  <si>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</si>
  <si>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</si>
  <si>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</si>
  <si>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</si>
  <si>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</si>
  <si>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</si>
  <si>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</si>
  <si>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</si>
  <si>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</si>
  <si>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</si>
  <si>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</si>
  <si>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</si>
  <si>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</si>
  <si>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</si>
  <si>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</si>
  <si>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</si>
  <si>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</si>
  <si>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</si>
  <si>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</si>
  <si>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</si>
  <si>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</si>
  <si>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</si>
  <si>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</si>
  <si>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</si>
  <si>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</si>
  <si>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</si>
  <si>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</si>
  <si>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</si>
  <si>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</si>
  <si>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</si>
  <si>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</si>
  <si>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</si>
  <si>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</si>
  <si>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</si>
  <si>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</si>
  <si>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</si>
  <si>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</si>
  <si>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</si>
  <si>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</si>
  <si>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</si>
  <si>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</si>
  <si>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</si>
  <si>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</si>
  <si>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</si>
  <si>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</si>
  <si>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</si>
  <si>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</si>
  <si>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</si>
  <si>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</si>
  <si>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</si>
  <si>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</si>
  <si>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</si>
  <si>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</si>
  <si>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</si>
  <si>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</si>
  <si>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</si>
  <si>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</si>
  <si>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</si>
  <si>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</si>
  <si>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</si>
  <si>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</si>
  <si>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</si>
  <si>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</si>
  <si>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</si>
  <si>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</si>
  <si>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</si>
  <si>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</si>
  <si>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</si>
  <si>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</si>
  <si>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</si>
  <si>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</si>
  <si>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</si>
  <si>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</si>
  <si>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</si>
  <si>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</si>
  <si>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</si>
  <si>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</si>
  <si>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</si>
  <si>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</si>
  <si>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</si>
  <si>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</si>
  <si>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</si>
  <si>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</si>
  <si>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</si>
  <si>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</si>
  <si>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</si>
  <si>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</si>
  <si>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</si>
  <si>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</si>
  <si>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</si>
  <si>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</si>
  <si>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</si>
  <si>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</si>
  <si>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</si>
  <si>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</si>
  <si>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</si>
  <si>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</si>
  <si>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</si>
  <si>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</si>
  <si>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</si>
  <si>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</si>
  <si>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</si>
  <si>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</si>
  <si>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</si>
  <si>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</si>
  <si>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</si>
  <si>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</si>
  <si>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</si>
  <si>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</si>
  <si>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</si>
  <si>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</si>
  <si>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</si>
  <si>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</si>
  <si>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</si>
  <si>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</si>
  <si>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</si>
  <si>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</si>
  <si>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</si>
  <si>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</si>
  <si>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</si>
  <si>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</si>
  <si>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</si>
  <si>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</si>
  <si>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</si>
  <si>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</si>
  <si>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</si>
  <si>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</si>
  <si>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</si>
  <si>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</si>
  <si>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</si>
  <si>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</si>
  <si>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</si>
  <si>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</si>
  <si>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</si>
  <si>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</si>
  <si>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</si>
  <si>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</si>
  <si>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</si>
  <si>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</si>
  <si>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</si>
  <si>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</si>
  <si>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</si>
  <si>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</si>
  <si>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</si>
  <si>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</si>
  <si>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</si>
  <si>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</si>
  <si>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</si>
  <si>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</si>
  <si>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</si>
  <si>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</si>
  <si>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</si>
  <si>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</si>
  <si>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</si>
  <si>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</si>
  <si>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</si>
  <si>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</si>
  <si>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</si>
  <si>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</si>
  <si>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</si>
  <si>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</si>
  <si>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</si>
  <si>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</si>
  <si>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</si>
  <si>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</si>
  <si>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</si>
  <si>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</si>
  <si>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</si>
  <si>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</si>
  <si>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</si>
  <si>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</si>
  <si>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</si>
  <si>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</si>
  <si>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</si>
  <si>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</si>
  <si>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</si>
  <si>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</si>
  <si>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</si>
  <si>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</si>
  <si>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</si>
  <si>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</si>
  <si>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</si>
  <si>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</si>
  <si>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</si>
  <si>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</si>
  <si>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</si>
  <si>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</si>
  <si>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</si>
  <si>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</si>
  <si>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</si>
  <si>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</si>
  <si>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</si>
  <si>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</si>
  <si>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</si>
  <si>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</si>
  <si>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</si>
  <si>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</si>
  <si>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</si>
  <si>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</si>
  <si>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</si>
  <si>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</si>
  <si>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</si>
  <si>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</si>
  <si>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</si>
  <si>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</si>
  <si>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</si>
  <si>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</si>
  <si>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</si>
  <si>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</si>
  <si>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</si>
  <si>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</si>
  <si>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</si>
  <si>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</si>
  <si>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</si>
  <si>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</si>
  <si>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</si>
  <si>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</si>
  <si>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</si>
  <si>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</si>
  <si>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</si>
  <si>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</si>
  <si>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</si>
  <si>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</si>
  <si>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</si>
  <si>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</si>
  <si>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</si>
  <si>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</si>
  <si>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</si>
  <si>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</si>
  <si>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</si>
  <si>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</si>
  <si>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</si>
  <si>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</si>
  <si>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</si>
  <si>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</si>
  <si>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</si>
  <si>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</si>
  <si>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</si>
  <si>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</si>
  <si>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</si>
  <si>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</si>
  <si>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</si>
  <si>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</si>
  <si>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</si>
  <si>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</si>
  <si>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</si>
  <si>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</si>
  <si>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</si>
  <si>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</si>
  <si>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</si>
  <si>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</si>
  <si>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</si>
  <si>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</si>
  <si>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</si>
  <si>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</si>
  <si>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</si>
  <si>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</si>
  <si>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</si>
  <si>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</si>
  <si>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</si>
  <si>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</si>
  <si>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</si>
  <si>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</si>
  <si>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</si>
  <si>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</si>
  <si>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</si>
  <si>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</si>
  <si>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</si>
  <si>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</si>
  <si>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</si>
  <si>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</si>
  <si>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</si>
  <si>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</si>
  <si>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</si>
  <si>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</si>
  <si>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</si>
  <si>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</si>
  <si>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</si>
  <si>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</si>
  <si>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</si>
  <si>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</si>
  <si>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</si>
  <si>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</si>
  <si>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</si>
  <si>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</si>
  <si>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</si>
  <si>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</si>
  <si>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</si>
  <si>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</si>
  <si>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</si>
  <si>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</si>
  <si>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</si>
  <si>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</si>
  <si>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</si>
  <si>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</si>
  <si>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</si>
  <si>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</si>
  <si>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</si>
  <si>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</si>
  <si>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</si>
  <si>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</si>
  <si>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</si>
  <si>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</si>
  <si>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</si>
  <si>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</si>
  <si>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</si>
  <si>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</si>
  <si>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</si>
  <si>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</si>
  <si>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</si>
  <si>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</si>
  <si>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</si>
  <si>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</si>
  <si>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</si>
  <si>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</si>
  <si>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</si>
  <si>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</si>
  <si>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</si>
  <si>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</si>
  <si>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</si>
  <si>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</si>
  <si>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</si>
  <si>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</si>
  <si>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</si>
  <si>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</si>
  <si>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</si>
  <si>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</si>
  <si>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</si>
  <si>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</si>
  <si>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</si>
  <si>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</si>
  <si>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</si>
  <si>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</si>
  <si>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</si>
  <si>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</si>
  <si>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</si>
  <si>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</si>
  <si>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</si>
  <si>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</si>
  <si>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</si>
  <si>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</si>
  <si>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</si>
  <si>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</si>
  <si>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</si>
  <si>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</si>
  <si>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</si>
  <si>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</si>
  <si>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</si>
  <si>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</si>
  <si>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</si>
  <si>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</si>
  <si>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</si>
  <si>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</si>
  <si>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</si>
  <si>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</si>
  <si>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</si>
  <si>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</si>
  <si>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</si>
  <si>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</si>
  <si>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</si>
  <si>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</si>
  <si>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</si>
  <si>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</si>
  <si>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</si>
  <si>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</si>
  <si>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</si>
  <si>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</si>
  <si>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</si>
  <si>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</si>
  <si>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</si>
  <si>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</si>
  <si>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</si>
  <si>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</si>
  <si>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</si>
  <si>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</si>
  <si>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</si>
  <si>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</si>
  <si>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</si>
  <si>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</si>
  <si>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</si>
  <si>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</si>
  <si>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</si>
  <si>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</si>
  <si>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</si>
  <si>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</si>
  <si>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</si>
  <si>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</si>
  <si>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</si>
  <si>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</si>
  <si>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</si>
  <si>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</si>
  <si>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</si>
  <si>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</si>
  <si>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</si>
  <si>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</si>
  <si>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</si>
  <si>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</si>
  <si>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</si>
  <si>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</si>
  <si>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</si>
  <si>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</si>
  <si>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</si>
  <si>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</si>
  <si>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</si>
  <si>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</si>
  <si>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</si>
  <si>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</si>
  <si>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</si>
  <si>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</si>
  <si>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</si>
  <si>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</si>
  <si>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</si>
  <si>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</si>
  <si>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</si>
  <si>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</si>
  <si>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</si>
  <si>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</si>
  <si>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</si>
  <si>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</si>
  <si>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</si>
  <si>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</si>
  <si>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</si>
  <si>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</si>
  <si>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</si>
  <si>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</si>
  <si>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</si>
  <si>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</si>
  <si>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</si>
  <si>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</si>
  <si>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</si>
  <si>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</si>
  <si>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</si>
  <si>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</si>
  <si>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</si>
  <si>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</si>
  <si>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</si>
  <si>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</si>
  <si>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</si>
  <si>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</si>
  <si>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</si>
  <si>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</si>
  <si>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</si>
  <si>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</si>
  <si>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</si>
  <si>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</si>
  <si>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</si>
  <si>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</si>
  <si>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</si>
  <si>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</si>
  <si>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</si>
  <si>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</si>
  <si>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</si>
  <si>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</si>
  <si>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</si>
  <si>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</si>
  <si>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</si>
  <si>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</si>
  <si>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</si>
  <si>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</si>
  <si>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</si>
  <si>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</si>
  <si>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</si>
  <si>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</si>
  <si>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</si>
  <si>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</si>
  <si>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</si>
  <si>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</si>
  <si>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</si>
  <si>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</si>
  <si>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</si>
  <si>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</si>
  <si>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</si>
  <si>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</si>
  <si>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</si>
  <si>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</si>
  <si>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</si>
  <si>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</si>
  <si>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</si>
  <si>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</si>
  <si>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</si>
  <si>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</si>
  <si>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</si>
  <si>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</si>
  <si>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</si>
  <si>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</si>
  <si>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</si>
  <si>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</si>
  <si>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</si>
  <si>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</si>
  <si>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</si>
  <si>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</si>
  <si>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</si>
  <si>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</si>
  <si>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</si>
  <si>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</si>
  <si>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</si>
  <si>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</si>
  <si>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</si>
  <si>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</si>
  <si>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</si>
  <si>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</si>
  <si>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</si>
  <si>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</si>
  <si>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</si>
  <si>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</si>
  <si>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</si>
  <si>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</si>
  <si>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</si>
  <si>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</si>
  <si>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</si>
  <si>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</si>
  <si>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</si>
  <si>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</si>
  <si>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</si>
  <si>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</si>
  <si>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</si>
  <si>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</si>
  <si>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</si>
  <si>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</si>
  <si>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</si>
  <si>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</si>
  <si>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</si>
  <si>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</si>
  <si>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</si>
  <si>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</si>
  <si>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</si>
  <si>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</si>
  <si>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</si>
  <si>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</si>
  <si>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</si>
  <si>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</si>
  <si>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</si>
  <si>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</si>
  <si>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</si>
  <si>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</si>
  <si>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</si>
  <si>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</si>
  <si>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</si>
  <si>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</si>
  <si>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</si>
  <si>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</si>
  <si>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</si>
  <si>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</si>
  <si>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</si>
  <si>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</si>
  <si>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</si>
  <si>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</si>
  <si>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</si>
  <si>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</si>
  <si>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</si>
  <si>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</si>
  <si>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</si>
  <si>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</si>
  <si>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</si>
  <si>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</si>
  <si>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</si>
  <si>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</si>
  <si>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</si>
  <si>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</si>
  <si>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</si>
  <si>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</si>
  <si>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</si>
  <si>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</si>
  <si>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</si>
  <si>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</si>
  <si>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</si>
  <si>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</si>
  <si>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</si>
  <si>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</si>
  <si>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</si>
  <si>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</si>
  <si>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</si>
  <si>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</si>
  <si>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</si>
  <si>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</si>
  <si>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</si>
  <si>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</si>
  <si>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</si>
  <si>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</si>
  <si>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</si>
  <si>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</si>
  <si>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</si>
  <si>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</si>
  <si>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</si>
  <si>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</si>
  <si>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</si>
  <si>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</si>
  <si>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</si>
  <si>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</si>
  <si>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</si>
  <si>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</si>
  <si>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</si>
  <si>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</si>
  <si>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</si>
  <si>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</si>
  <si>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</si>
  <si>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</si>
  <si>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</si>
  <si>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</si>
  <si>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</si>
  <si>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</si>
  <si>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</si>
  <si>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</si>
  <si>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</si>
  <si>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</si>
  <si>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</si>
  <si>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</si>
  <si>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</si>
  <si>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</si>
  <si>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</si>
  <si>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</si>
  <si>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</si>
  <si>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</si>
  <si>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</si>
  <si>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</si>
  <si>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</si>
  <si>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</si>
  <si>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</si>
  <si>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</si>
  <si>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</si>
  <si>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</si>
  <si>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</si>
  <si>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</si>
  <si>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</si>
  <si>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</si>
  <si>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</si>
  <si>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</si>
  <si>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</si>
  <si>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</si>
  <si>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</si>
  <si>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</si>
  <si>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</si>
  <si>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</si>
  <si>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</si>
  <si>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</si>
  <si>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</si>
  <si>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</si>
  <si>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</si>
  <si>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</si>
  <si>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</si>
  <si>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</si>
  <si>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</si>
  <si>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</si>
  <si>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</si>
  <si>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</si>
  <si>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</si>
  <si>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</si>
  <si>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</si>
  <si>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</si>
  <si>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</si>
  <si>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</si>
  <si>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</si>
  <si>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</si>
  <si>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</si>
  <si>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</si>
  <si>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</si>
  <si>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</si>
  <si>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</si>
  <si>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</si>
  <si>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</si>
  <si>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</si>
  <si>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</si>
  <si>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</si>
  <si>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</si>
  <si>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</si>
  <si>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</si>
  <si>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</si>
  <si>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</si>
  <si>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</si>
  <si>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</si>
  <si>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</si>
  <si>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</si>
  <si>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</si>
  <si>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</si>
  <si>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</si>
  <si>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</si>
  <si>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</si>
  <si>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</si>
  <si>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</si>
  <si>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</si>
  <si>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</si>
  <si>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</si>
  <si>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</si>
  <si>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</si>
  <si>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</si>
  <si>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</si>
  <si>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</si>
  <si>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</si>
  <si>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</si>
  <si>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</si>
  <si>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</si>
  <si>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</si>
  <si>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</si>
  <si>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</si>
  <si>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</si>
  <si>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</si>
  <si>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</si>
  <si>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</si>
  <si>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</si>
  <si>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</si>
  <si>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</si>
  <si>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</si>
  <si>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</si>
  <si>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</si>
  <si>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</si>
  <si>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</si>
  <si>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</si>
  <si>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</si>
  <si>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</si>
  <si>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</si>
  <si>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</si>
  <si>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</si>
  <si>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</si>
  <si>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</si>
  <si>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</si>
  <si>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</si>
  <si>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</si>
  <si>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</si>
  <si>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</si>
  <si>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</si>
  <si>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</si>
  <si>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</si>
  <si>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</si>
  <si>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</si>
  <si>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</si>
  <si>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</si>
  <si>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</si>
  <si>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</si>
  <si>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</si>
  <si>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</si>
  <si>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</si>
  <si>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</si>
  <si>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</si>
  <si>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</si>
  <si>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</si>
  <si>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</si>
  <si>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</si>
  <si>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</si>
  <si>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</si>
  <si>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</si>
  <si>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</si>
  <si>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</si>
  <si>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</si>
  <si>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</si>
  <si>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</si>
  <si>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</si>
  <si>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</si>
  <si>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</si>
  <si>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</si>
  <si>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</si>
  <si>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</si>
  <si>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</si>
  <si>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</si>
  <si>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</si>
  <si>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</si>
  <si>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</si>
  <si>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</si>
  <si>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</si>
  <si>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</si>
  <si>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</si>
  <si>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</si>
  <si>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</si>
  <si>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</si>
  <si>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</si>
  <si>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</si>
  <si>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</si>
  <si>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</si>
  <si>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</si>
  <si>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</si>
  <si>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</si>
  <si>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</si>
  <si>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</si>
  <si>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</si>
  <si>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</si>
  <si>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</si>
  <si>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</si>
  <si>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</si>
  <si>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</si>
  <si>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</si>
  <si>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</si>
  <si>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</si>
  <si>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</si>
  <si>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</si>
  <si>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</si>
  <si>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</si>
  <si>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</si>
  <si>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</si>
  <si>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</si>
  <si>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</si>
  <si>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</si>
  <si>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</si>
  <si>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</si>
  <si>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</si>
  <si>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</si>
  <si>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</si>
  <si>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</si>
  <si>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</si>
  <si>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</si>
  <si>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</si>
  <si>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</si>
  <si>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</si>
  <si>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</si>
  <si>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</si>
  <si>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</si>
  <si>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</si>
  <si>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</si>
  <si>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</si>
  <si>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</si>
  <si>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</si>
  <si>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</si>
  <si>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</si>
  <si>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</si>
  <si>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</si>
  <si>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</si>
  <si>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</si>
  <si>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</si>
  <si>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</si>
  <si>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</si>
  <si>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</si>
  <si>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</si>
  <si>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</si>
  <si>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</si>
  <si>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</si>
  <si>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</si>
  <si>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</si>
  <si>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</si>
  <si>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</si>
  <si>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</si>
  <si>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</si>
  <si>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</si>
  <si>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</si>
  <si>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</si>
  <si>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</si>
  <si>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</si>
  <si>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</si>
  <si>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</si>
  <si>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</si>
  <si>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</si>
  <si>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</si>
  <si>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</si>
  <si>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</si>
  <si>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</si>
  <si>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</si>
  <si>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</si>
  <si>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</si>
  <si>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</si>
  <si>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</si>
  <si>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</si>
  <si>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</si>
  <si>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</si>
  <si>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</si>
  <si>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</si>
  <si>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</si>
  <si>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</si>
  <si>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</si>
  <si>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</si>
  <si>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</si>
  <si>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</si>
  <si>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</si>
  <si>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</si>
  <si>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</si>
  <si>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</si>
  <si>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</si>
  <si>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</si>
  <si>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</si>
  <si>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</si>
  <si>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</si>
  <si>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</si>
  <si>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</si>
  <si>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</si>
  <si>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</si>
  <si>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</si>
  <si>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</si>
  <si>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</si>
  <si>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</si>
  <si>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</si>
  <si>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</si>
  <si>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</si>
  <si>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</si>
  <si>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</si>
  <si>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</si>
  <si>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</si>
  <si>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</si>
  <si>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</si>
  <si>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</si>
  <si>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</si>
  <si>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</si>
  <si>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</si>
  <si>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</si>
  <si>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</si>
  <si>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</si>
  <si>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</si>
  <si>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</si>
  <si>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</si>
  <si>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</si>
  <si>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</si>
  <si>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</si>
  <si>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</si>
  <si>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</si>
  <si>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</si>
  <si>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</si>
  <si>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</si>
  <si>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</si>
  <si>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</si>
  <si>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</si>
  <si>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</si>
  <si>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</si>
  <si>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</si>
  <si>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</si>
  <si>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</si>
  <si>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</si>
  <si>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</si>
  <si>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</si>
  <si>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</si>
  <si>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</si>
  <si>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</si>
  <si>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</si>
  <si>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</si>
  <si>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</si>
  <si>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</si>
  <si>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</si>
  <si>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</si>
  <si>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</si>
  <si>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</si>
  <si>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</si>
  <si>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</si>
  <si>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</si>
  <si>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</si>
  <si>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</si>
  <si>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</si>
  <si>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</si>
  <si>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</si>
  <si>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</si>
  <si>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</si>
  <si>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</si>
  <si>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</si>
  <si>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</si>
  <si>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</si>
  <si>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</si>
  <si>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</si>
  <si>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</si>
  <si>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</si>
  <si>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</si>
  <si>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</si>
  <si>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</si>
  <si>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</si>
  <si>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</si>
  <si>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</si>
  <si>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</si>
  <si>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</si>
  <si>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</si>
  <si>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</si>
  <si>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</si>
  <si>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</si>
  <si>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</si>
  <si>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</si>
  <si>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</si>
  <si>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</si>
  <si>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</si>
  <si>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</si>
  <si>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</si>
  <si>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</si>
  <si>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</si>
  <si>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</si>
  <si>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</si>
  <si>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</si>
  <si>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</si>
  <si>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</si>
  <si>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</si>
  <si>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</si>
  <si>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</si>
  <si>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</si>
  <si>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</si>
  <si>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</si>
  <si>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</si>
  <si>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</si>
  <si>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</si>
  <si>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</si>
  <si>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</si>
  <si>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</si>
  <si>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</si>
  <si>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</si>
  <si>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</si>
  <si>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</si>
  <si>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</si>
  <si>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</si>
  <si>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</si>
  <si>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</si>
  <si>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</si>
  <si>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</si>
  <si>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</si>
  <si>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</si>
  <si>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</si>
  <si>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</si>
  <si>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</si>
  <si>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</si>
  <si>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</si>
  <si>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</si>
  <si>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</si>
  <si>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</si>
  <si>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</si>
  <si>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</si>
  <si>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</si>
  <si>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</si>
  <si>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</si>
  <si>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</si>
  <si>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</si>
  <si>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</si>
  <si>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</si>
  <si>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</si>
  <si>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</si>
  <si>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</si>
  <si>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</si>
  <si>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</si>
  <si>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</si>
  <si>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</si>
  <si>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</si>
  <si>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</si>
  <si>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</si>
  <si>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</si>
  <si>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</si>
  <si>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</si>
  <si>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</si>
  <si>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</si>
  <si>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</si>
  <si>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</si>
  <si>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</si>
  <si>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</si>
  <si>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</si>
  <si>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</si>
  <si>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</si>
  <si>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</si>
  <si>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</si>
  <si>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</si>
  <si>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</si>
  <si>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</si>
  <si>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</si>
  <si>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</si>
  <si>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</si>
  <si>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</si>
  <si>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</si>
  <si>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</si>
  <si>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</si>
  <si>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</si>
  <si>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</si>
  <si>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</si>
  <si>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</si>
  <si>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</si>
  <si>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</si>
  <si>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</si>
  <si>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</si>
  <si>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</si>
  <si>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</si>
  <si>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</si>
  <si>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</si>
  <si>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</si>
  <si>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</si>
  <si>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</si>
  <si>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</si>
  <si>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</si>
  <si>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</si>
  <si>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</si>
  <si>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</si>
  <si>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</si>
  <si>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</si>
  <si>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</si>
  <si>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</si>
  <si>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</si>
  <si>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</si>
  <si>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</si>
  <si>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</si>
  <si>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</si>
  <si>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</si>
  <si>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</si>
  <si>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</si>
  <si>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</si>
  <si>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</si>
  <si>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</si>
  <si>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</si>
  <si>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</si>
  <si>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</si>
  <si>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</si>
  <si>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</si>
  <si>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</si>
  <si>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</si>
  <si>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</si>
  <si>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</si>
  <si>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</si>
  <si>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</si>
  <si>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</si>
  <si>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</si>
  <si>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</si>
  <si>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</si>
  <si>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</si>
  <si>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</si>
  <si>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</si>
  <si>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</si>
  <si>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</si>
  <si>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</si>
  <si>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</si>
  <si>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</si>
  <si>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</si>
  <si>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</si>
  <si>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</si>
  <si>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</si>
  <si>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</si>
  <si>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</si>
  <si>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</si>
  <si>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</si>
  <si>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</si>
  <si>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</si>
  <si>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</si>
  <si>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</si>
  <si>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</si>
  <si>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</si>
  <si>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</si>
  <si>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</si>
  <si>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</si>
  <si>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</si>
  <si>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</si>
  <si>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</si>
  <si>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</si>
  <si>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</si>
  <si>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</si>
  <si>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</si>
  <si>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</si>
  <si>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</si>
  <si>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</si>
  <si>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</si>
  <si>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</si>
  <si>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</si>
  <si>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</si>
  <si>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</si>
  <si>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</si>
  <si>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</si>
  <si>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</si>
  <si>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</si>
  <si>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</si>
  <si>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</si>
  <si>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</si>
  <si>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</si>
  <si>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</si>
  <si>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</si>
  <si>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</si>
  <si>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</si>
  <si>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</si>
  <si>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</si>
  <si>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</si>
  <si>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</si>
  <si>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</si>
  <si>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</si>
  <si>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</si>
  <si>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</si>
  <si>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</si>
  <si>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</si>
  <si>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</si>
  <si>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</si>
  <si>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</si>
  <si>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</si>
  <si>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</si>
  <si>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</si>
  <si>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</si>
  <si>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</si>
  <si>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</si>
  <si>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</si>
  <si>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</si>
  <si>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</si>
  <si>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</si>
  <si>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</si>
  <si>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</si>
  <si>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</si>
  <si>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</si>
  <si>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</si>
  <si>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</si>
  <si>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</si>
  <si>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</si>
  <si>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</si>
  <si>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</si>
  <si>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</si>
  <si>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</si>
  <si>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</si>
  <si>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</si>
  <si>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</si>
  <si>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</si>
  <si>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</si>
  <si>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</si>
  <si>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</si>
  <si>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</si>
  <si>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</si>
  <si>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</si>
  <si>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</si>
  <si>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</si>
  <si>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</si>
  <si>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</si>
  <si>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</si>
  <si>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</si>
  <si>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</si>
  <si>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</si>
  <si>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</si>
  <si>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</si>
  <si>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</si>
  <si>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</si>
  <si>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</si>
  <si>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</si>
  <si>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</si>
  <si>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</si>
  <si>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</si>
  <si>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</si>
  <si>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</si>
  <si>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</si>
  <si>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</si>
  <si>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</si>
  <si>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</si>
  <si>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</si>
  <si>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</si>
  <si>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</si>
  <si>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</si>
  <si>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</si>
  <si>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</si>
  <si>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</si>
  <si>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</si>
  <si>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</si>
  <si>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</si>
  <si>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</si>
  <si>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</si>
  <si>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</si>
  <si>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</si>
  <si>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</si>
  <si>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</si>
  <si>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</si>
  <si>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</si>
  <si>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</si>
  <si>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</si>
  <si>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</si>
  <si>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</si>
  <si>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</si>
  <si>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</si>
  <si>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</si>
  <si>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</si>
  <si>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</si>
  <si>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</si>
  <si>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</si>
  <si>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</si>
  <si>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</si>
  <si>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</si>
  <si>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</si>
  <si>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</si>
  <si>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</si>
  <si>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</si>
  <si>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</si>
  <si>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</si>
  <si>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</si>
  <si>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</si>
  <si>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</si>
  <si>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</si>
  <si>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</si>
  <si>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</si>
  <si>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</si>
  <si>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</si>
  <si>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</si>
  <si>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</si>
  <si>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</si>
  <si>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</si>
  <si>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</si>
  <si>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</si>
  <si>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</si>
  <si>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</si>
  <si>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</si>
  <si>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</si>
  <si>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</si>
  <si>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</si>
  <si>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</si>
  <si>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</si>
  <si>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</si>
  <si>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</si>
  <si>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</si>
  <si>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</si>
  <si>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</si>
  <si>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</si>
  <si>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</si>
  <si>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</si>
  <si>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</si>
  <si>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</si>
  <si>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</si>
  <si>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</si>
  <si>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</si>
  <si>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</si>
  <si>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</si>
  <si>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</si>
  <si>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</si>
  <si>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</si>
  <si>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</si>
  <si>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</si>
  <si>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</si>
  <si>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</si>
  <si>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</si>
  <si>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</si>
  <si>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</si>
  <si>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</si>
  <si>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</si>
  <si>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</si>
  <si>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</si>
  <si>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</si>
  <si>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</si>
  <si>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</si>
  <si>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</si>
  <si>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</si>
  <si>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</si>
  <si>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</si>
  <si>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</si>
  <si>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</si>
  <si>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</si>
  <si>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</si>
  <si>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</si>
  <si>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</si>
  <si>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</si>
  <si>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</si>
  <si>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</si>
  <si>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</si>
  <si>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</si>
  <si>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</si>
  <si>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</si>
  <si>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</si>
  <si>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</si>
  <si>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</si>
  <si>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</si>
  <si>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</si>
  <si>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</si>
  <si>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</si>
  <si>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</si>
  <si>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</si>
  <si>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</si>
  <si>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</si>
  <si>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</si>
  <si>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</si>
  <si>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</si>
  <si>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</si>
  <si>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</si>
  <si>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</si>
  <si>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</si>
  <si>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</si>
  <si>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</si>
  <si>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</si>
  <si>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</si>
  <si>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</si>
  <si>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</si>
  <si>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</si>
  <si>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</si>
  <si>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</si>
  <si>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</si>
  <si>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</si>
  <si>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</si>
  <si>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</si>
  <si>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</si>
  <si>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</si>
  <si>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</si>
  <si>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</si>
  <si>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</si>
  <si>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</si>
  <si>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</si>
  <si>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</si>
  <si>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</si>
  <si>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</si>
  <si>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</si>
  <si>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</si>
  <si>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</si>
  <si>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</si>
  <si>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</si>
  <si>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</si>
  <si>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</si>
  <si>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</si>
  <si>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</si>
  <si>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</si>
  <si>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</si>
  <si>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</si>
  <si>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</si>
  <si>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</si>
  <si>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</si>
  <si>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</si>
  <si>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</si>
  <si>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</si>
  <si>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</si>
  <si>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</si>
  <si>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</si>
  <si>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</si>
  <si>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</si>
  <si>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</si>
  <si>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</si>
  <si>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</si>
  <si>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</si>
  <si>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</si>
  <si>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</si>
  <si>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</si>
  <si>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</si>
  <si>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</si>
  <si>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</si>
  <si>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</si>
  <si>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</si>
  <si>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</si>
  <si>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</si>
  <si>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</si>
  <si>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</si>
  <si>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</si>
  <si>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</si>
  <si>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</si>
  <si>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</si>
  <si>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</si>
  <si>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</si>
  <si>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</si>
  <si>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</si>
  <si>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</si>
  <si>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</si>
  <si>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</si>
  <si>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</si>
  <si>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</si>
  <si>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</si>
  <si>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</si>
  <si>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</si>
  <si>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</si>
  <si>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</si>
  <si>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</si>
  <si>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</si>
  <si>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</si>
  <si>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</si>
  <si>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</si>
  <si>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</si>
  <si>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</si>
  <si>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</si>
  <si>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</si>
  <si>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</si>
  <si>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</si>
  <si>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</si>
  <si>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</si>
  <si>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</si>
  <si>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</si>
  <si>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</si>
  <si>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</si>
  <si>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</si>
  <si>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</si>
  <si>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</si>
  <si>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</si>
  <si>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</si>
  <si>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</si>
  <si>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</si>
  <si>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</si>
  <si>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</si>
  <si>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</si>
  <si>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</si>
  <si>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</si>
  <si>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</si>
  <si>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</si>
  <si>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</si>
  <si>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</si>
  <si>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</si>
  <si>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</si>
  <si>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</si>
  <si>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</si>
  <si>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</si>
  <si>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</si>
  <si>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</si>
  <si>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</si>
  <si>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</si>
  <si>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</si>
  <si>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</si>
  <si>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</si>
  <si>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</si>
  <si>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</si>
  <si>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</si>
  <si>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</si>
  <si>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</si>
  <si>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</si>
  <si>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</si>
  <si>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</si>
  <si>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</si>
  <si>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</si>
  <si>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</si>
  <si>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</si>
  <si>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</si>
  <si>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</si>
  <si>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</si>
  <si>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</si>
  <si>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</si>
  <si>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</si>
  <si>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</si>
  <si>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</si>
  <si>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</si>
  <si>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</si>
  <si>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</si>
  <si>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</si>
  <si>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</si>
  <si>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</si>
  <si>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</si>
  <si>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</si>
  <si>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</si>
  <si>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</si>
  <si>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</si>
  <si>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</si>
  <si>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</si>
  <si>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</si>
  <si>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</si>
  <si>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</si>
  <si>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</si>
  <si>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</si>
  <si>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</si>
  <si>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</si>
  <si>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</si>
  <si>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</si>
  <si>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</si>
  <si>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</si>
  <si>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</si>
  <si>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</si>
  <si>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</si>
  <si>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</si>
  <si>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</si>
  <si>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</si>
  <si>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</si>
  <si>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</si>
  <si>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</si>
  <si>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</si>
  <si>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</si>
  <si>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</si>
  <si>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</si>
  <si>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</si>
  <si>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</si>
  <si>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</si>
  <si>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</si>
  <si>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</si>
  <si>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</si>
  <si>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</si>
  <si>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</si>
  <si>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</si>
  <si>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</si>
  <si>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</si>
  <si>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</si>
  <si>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</si>
  <si>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</si>
  <si>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</si>
  <si>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</si>
  <si>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</si>
  <si>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</si>
  <si>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</si>
  <si>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</si>
  <si>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</si>
  <si>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</si>
  <si>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</si>
  <si>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</si>
  <si>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</si>
  <si>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</si>
  <si>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</si>
  <si>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</si>
  <si>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</si>
  <si>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</si>
  <si>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</si>
  <si>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</si>
  <si>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</si>
  <si>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</si>
  <si>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</si>
  <si>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</si>
  <si>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</si>
  <si>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</si>
  <si>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</si>
  <si>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</si>
  <si>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</si>
  <si>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</si>
  <si>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</si>
  <si>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</si>
  <si>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</si>
  <si>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</si>
  <si>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</si>
  <si>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</si>
  <si>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</si>
  <si>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</si>
  <si>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</si>
  <si>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</si>
  <si>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</si>
  <si>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</si>
  <si>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</si>
  <si>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</si>
  <si>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</si>
  <si>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</si>
  <si>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</si>
  <si>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</si>
  <si>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</si>
  <si>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</si>
  <si>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</si>
  <si>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</si>
  <si>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</si>
  <si>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</si>
  <si>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</si>
  <si>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</si>
  <si>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</si>
  <si>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</si>
  <si>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</si>
  <si>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</si>
  <si>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</si>
  <si>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</si>
  <si>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</si>
  <si>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</si>
  <si>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</si>
  <si>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</si>
  <si>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</si>
  <si>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</si>
  <si>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</si>
  <si>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</si>
  <si>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</si>
  <si>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</si>
  <si>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</si>
  <si>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</si>
  <si>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</si>
  <si>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</si>
  <si>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</si>
  <si>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</si>
  <si>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</si>
  <si>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</si>
  <si>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</si>
  <si>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</si>
  <si>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</si>
  <si>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</si>
  <si>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</si>
  <si>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</si>
  <si>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</si>
  <si>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</si>
  <si>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</si>
  <si>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</si>
  <si>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</si>
  <si>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</si>
  <si>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</si>
  <si>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</si>
  <si>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</si>
  <si>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</si>
  <si>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</si>
  <si>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</si>
  <si>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</si>
  <si>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</si>
  <si>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</si>
  <si>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</si>
  <si>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</si>
  <si>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</si>
  <si>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</si>
  <si>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</si>
  <si>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</si>
  <si>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</si>
  <si>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</si>
  <si>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</si>
  <si>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</si>
  <si>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</si>
  <si>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</si>
  <si>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</si>
  <si>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</si>
  <si>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</si>
  <si>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</si>
  <si>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</si>
  <si>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</si>
  <si>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</si>
  <si>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</si>
  <si>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</si>
  <si>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</si>
  <si>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</si>
  <si>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</si>
  <si>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</si>
  <si>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</si>
  <si>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</si>
  <si>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</si>
  <si>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</si>
  <si>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</si>
  <si>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</si>
  <si>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</si>
  <si>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</si>
  <si>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</si>
  <si>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</si>
  <si>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</si>
  <si>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</si>
  <si>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</si>
  <si>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</si>
  <si>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</si>
  <si>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</si>
  <si>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</si>
  <si>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</si>
  <si>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</si>
  <si>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</si>
  <si>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</si>
  <si>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</si>
  <si>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</si>
  <si>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</si>
  <si>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</si>
  <si>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</si>
  <si>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</si>
  <si>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</si>
  <si>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</si>
  <si>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</si>
  <si>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</si>
  <si>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</si>
  <si>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</si>
  <si>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</si>
  <si>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</si>
  <si>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</si>
  <si>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</si>
  <si>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</si>
  <si>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</si>
  <si>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</si>
  <si>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</si>
  <si>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</si>
  <si>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</si>
  <si>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</si>
  <si>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</si>
  <si>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</si>
  <si>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</si>
  <si>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</si>
  <si>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</si>
  <si>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</si>
  <si>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</si>
  <si>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</si>
  <si>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</si>
  <si>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</si>
  <si>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</si>
  <si>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</si>
  <si>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</si>
  <si>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</si>
  <si>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</si>
  <si>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</si>
  <si>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</si>
  <si>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</si>
  <si>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</si>
  <si>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</si>
  <si>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</si>
  <si>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</si>
  <si>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</si>
  <si>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</si>
  <si>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</si>
  <si>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</si>
  <si>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</si>
  <si>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</si>
  <si>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</si>
  <si>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</si>
  <si>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</si>
  <si>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</si>
  <si>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</si>
  <si>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</si>
  <si>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</si>
  <si>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</si>
  <si>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</si>
  <si>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</si>
  <si>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</si>
  <si>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</si>
  <si>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</si>
  <si>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</si>
  <si>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</si>
  <si>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</si>
  <si>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</si>
  <si>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</si>
  <si>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</si>
  <si>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</si>
  <si>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</si>
  <si>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</si>
  <si>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</si>
  <si>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</si>
  <si>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</si>
  <si>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</si>
  <si>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</si>
  <si>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</si>
  <si>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</si>
  <si>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</si>
  <si>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</si>
  <si>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</si>
  <si>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</si>
  <si>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</si>
  <si>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</si>
  <si>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</si>
  <si>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</si>
  <si>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</si>
  <si>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</si>
  <si>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</si>
  <si>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</si>
  <si>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</si>
  <si>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</si>
  <si>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</si>
  <si>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</si>
  <si>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</si>
  <si>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</si>
  <si>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</si>
  <si>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</si>
  <si>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</si>
  <si>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</si>
  <si>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</si>
  <si>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</si>
  <si>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</si>
  <si>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</si>
  <si>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</si>
  <si>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</si>
  <si>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</si>
  <si>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</si>
  <si>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</si>
  <si>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</si>
  <si>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</si>
  <si>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</si>
  <si>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</si>
  <si>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</si>
  <si>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</si>
  <si>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</si>
  <si>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</si>
  <si>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</si>
  <si>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</si>
  <si>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</si>
  <si>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</si>
  <si>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</si>
  <si>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</si>
  <si>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</si>
  <si>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</si>
  <si>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</si>
  <si>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</si>
  <si>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</si>
  <si>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</si>
  <si>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</si>
  <si>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</si>
  <si>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</si>
  <si>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</si>
  <si>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</si>
  <si>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</si>
  <si>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</si>
  <si>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</si>
  <si>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</si>
  <si>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</si>
  <si>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</si>
  <si>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</si>
  <si>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</si>
  <si>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</si>
  <si>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</si>
  <si>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</si>
  <si>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</si>
  <si>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</si>
  <si>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</si>
  <si>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</si>
  <si>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</si>
  <si>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</si>
  <si>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</si>
  <si>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</si>
  <si>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</si>
  <si>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</si>
  <si>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</si>
  <si>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</si>
  <si>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</si>
  <si>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</si>
  <si>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</si>
  <si>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</si>
  <si>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</si>
  <si>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</si>
  <si>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</si>
  <si>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</si>
  <si>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</si>
  <si>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</si>
  <si>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</si>
  <si>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</si>
  <si>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</si>
  <si>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</si>
  <si>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</si>
  <si>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</si>
  <si>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</si>
  <si>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</si>
  <si>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</si>
  <si>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</si>
  <si>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</si>
  <si>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</si>
  <si>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</si>
  <si>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</si>
  <si>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</si>
  <si>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</si>
  <si>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</si>
  <si>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</si>
  <si>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</si>
  <si>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</si>
  <si>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</si>
  <si>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</si>
  <si>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</si>
  <si>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</si>
  <si>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</si>
  <si>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</si>
  <si>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</si>
  <si>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</si>
  <si>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</si>
  <si>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</si>
  <si>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</si>
  <si>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</si>
  <si>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</si>
  <si>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</si>
  <si>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</si>
  <si>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</si>
  <si>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</si>
  <si>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</si>
  <si>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</si>
  <si>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</si>
  <si>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</si>
  <si>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</si>
  <si>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</si>
  <si>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</si>
  <si>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</si>
  <si>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</si>
  <si>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</si>
  <si>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</si>
  <si>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</si>
  <si>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</si>
  <si>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</si>
  <si>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</si>
  <si>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</si>
  <si>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</si>
  <si>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</si>
  <si>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</si>
  <si>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</si>
  <si>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</si>
  <si>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</si>
  <si>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</si>
  <si>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</si>
  <si>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</si>
  <si>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</si>
  <si>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</si>
  <si>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</si>
  <si>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</si>
  <si>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</si>
  <si>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</si>
  <si>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</si>
  <si>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</si>
  <si>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</si>
  <si>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</si>
  <si>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</si>
  <si>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</si>
  <si>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</si>
  <si>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</si>
  <si>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</si>
  <si>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</si>
  <si>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</si>
  <si>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</si>
  <si>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</si>
  <si>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</si>
  <si>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</si>
  <si>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</si>
  <si>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</si>
  <si>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</si>
  <si>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</si>
  <si>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</si>
  <si>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</si>
  <si>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</si>
  <si>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</si>
  <si>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</si>
  <si>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</si>
  <si>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</si>
  <si>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</si>
  <si>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</si>
  <si>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</si>
  <si>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</si>
  <si>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</si>
  <si>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</si>
  <si>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</si>
  <si>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</si>
  <si>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</si>
  <si>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</si>
  <si>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</si>
  <si>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</si>
  <si>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</si>
  <si>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</si>
  <si>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</si>
  <si>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</si>
  <si>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</si>
  <si>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</si>
  <si>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</si>
  <si>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</si>
  <si>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</si>
  <si>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</si>
  <si>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</si>
  <si>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</si>
  <si>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</si>
  <si>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</si>
  <si>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</si>
  <si>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</si>
  <si>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</si>
  <si>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</si>
  <si>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</si>
  <si>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</si>
  <si>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</si>
  <si>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</si>
  <si>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</si>
  <si>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</si>
  <si>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</si>
  <si>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</si>
  <si>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</si>
  <si>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</si>
  <si>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</si>
  <si>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</si>
  <si>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</si>
  <si>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</si>
  <si>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</si>
  <si>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</si>
  <si>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</si>
  <si>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</si>
  <si>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</si>
  <si>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</si>
  <si>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</si>
  <si>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</si>
  <si>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</si>
  <si>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</si>
  <si>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</si>
  <si>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</si>
  <si>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</si>
  <si>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</si>
  <si>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</si>
  <si>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</si>
  <si>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</si>
  <si>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</si>
  <si>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</si>
  <si>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</si>
  <si>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</si>
  <si>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</si>
  <si>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</si>
  <si>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</si>
  <si>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</si>
  <si>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</si>
  <si>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</si>
  <si>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</si>
  <si>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</si>
  <si>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</si>
  <si>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</si>
  <si>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</si>
  <si>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</si>
  <si>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</si>
  <si>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</si>
  <si>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</si>
  <si>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</si>
  <si>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</si>
  <si>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</si>
  <si>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</si>
  <si>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</si>
  <si>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</si>
  <si>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</si>
  <si>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</si>
  <si>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</si>
  <si>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</si>
  <si>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</si>
  <si>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</si>
  <si>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</si>
  <si>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</si>
  <si>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</si>
  <si>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</si>
  <si>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</si>
  <si>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</si>
  <si>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</si>
  <si>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</si>
  <si>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</si>
  <si>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</si>
  <si>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</si>
  <si>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</si>
  <si>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</si>
  <si>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</si>
  <si>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</si>
  <si>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</si>
  <si>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</si>
  <si>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</si>
  <si>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</si>
  <si>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</si>
  <si>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</si>
  <si>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</si>
  <si>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</si>
  <si>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</si>
  <si>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</si>
  <si>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</si>
  <si>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</si>
  <si>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</si>
  <si>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</si>
  <si>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</si>
  <si>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</si>
  <si>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</si>
  <si>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</si>
  <si>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</si>
  <si>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</si>
  <si>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</si>
  <si>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</si>
  <si>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</si>
  <si>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</si>
  <si>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</si>
  <si>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</si>
  <si>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</si>
  <si>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</si>
  <si>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</si>
  <si>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</si>
  <si>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</si>
  <si>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</si>
  <si>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</si>
  <si>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</si>
  <si>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</si>
  <si>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</si>
  <si>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</si>
  <si>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</si>
  <si>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</si>
  <si>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</si>
  <si>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</si>
  <si>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</si>
  <si>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</si>
  <si>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</si>
  <si>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</si>
  <si>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</si>
  <si>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</si>
  <si>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</si>
  <si>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</si>
  <si>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</si>
  <si>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</si>
  <si>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</si>
  <si>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</si>
  <si>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</si>
  <si>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</si>
  <si>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</si>
  <si>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</si>
  <si>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</si>
  <si>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</si>
  <si>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</si>
  <si>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</si>
  <si>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</si>
  <si>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</si>
  <si>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</si>
  <si>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</si>
  <si>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</si>
  <si>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</si>
  <si>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</si>
  <si>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</si>
  <si>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</si>
  <si>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</si>
  <si>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</si>
  <si>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</si>
  <si>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</si>
  <si>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</si>
  <si>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</si>
  <si>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</si>
  <si>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</si>
  <si>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</si>
  <si>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</si>
  <si>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</si>
  <si>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</si>
  <si>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</si>
  <si>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</si>
  <si>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</si>
  <si>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</si>
  <si>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</si>
  <si>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</si>
  <si>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</si>
  <si>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</si>
  <si>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</si>
  <si>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</si>
  <si>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</si>
  <si>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</si>
  <si>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</si>
  <si>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</si>
  <si>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</si>
  <si>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</si>
  <si>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</si>
  <si>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</si>
  <si>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</si>
  <si>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</si>
  <si>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</si>
  <si>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</si>
  <si>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</si>
  <si>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</si>
  <si>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</si>
  <si>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</si>
  <si>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</si>
  <si>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</si>
  <si>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</si>
  <si>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</si>
  <si>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</si>
  <si>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</si>
  <si>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</si>
  <si>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</si>
  <si>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</si>
  <si>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</si>
  <si>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</si>
  <si>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</si>
  <si>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</si>
  <si>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</si>
  <si>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</si>
  <si>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</si>
  <si>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</si>
  <si>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</si>
  <si>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</si>
  <si>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</si>
  <si>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</si>
  <si>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</si>
  <si>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</si>
  <si>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</si>
  <si>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</si>
  <si>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</si>
  <si>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</si>
  <si>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</si>
  <si>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</si>
  <si>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</si>
  <si>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</si>
  <si>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</si>
  <si>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</si>
  <si>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</si>
  <si>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</si>
  <si>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</si>
  <si>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</si>
  <si>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</si>
  <si>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</si>
  <si>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</si>
  <si>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</si>
  <si>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</si>
  <si>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</si>
  <si>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</si>
  <si>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</si>
  <si>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</si>
  <si>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</si>
  <si>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</si>
  <si>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</si>
  <si>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</si>
  <si>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</si>
  <si>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</si>
  <si>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</si>
  <si>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</si>
  <si>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</si>
  <si>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</si>
  <si>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</si>
  <si>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</si>
  <si>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</si>
  <si>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</si>
  <si>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</si>
  <si>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</si>
  <si>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</si>
  <si>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</si>
  <si>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</si>
  <si>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</si>
  <si>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</si>
  <si>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</si>
  <si>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</si>
  <si>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</si>
  <si>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</si>
  <si>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</si>
  <si>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</si>
  <si>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</si>
  <si>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</si>
  <si>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</si>
  <si>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</si>
  <si>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</si>
  <si>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</si>
  <si>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</si>
  <si>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</si>
  <si>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</si>
  <si>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</si>
  <si>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</si>
  <si>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</si>
  <si>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</si>
  <si>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</si>
  <si>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</si>
  <si>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</si>
  <si>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</si>
  <si>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</si>
  <si>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</si>
  <si>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</si>
  <si>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</si>
  <si>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</si>
  <si>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</si>
  <si>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</si>
  <si>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</si>
  <si>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</si>
  <si>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</si>
  <si>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</si>
  <si>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</si>
  <si>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</si>
  <si>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</si>
  <si>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</si>
  <si>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</si>
  <si>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</si>
  <si>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</si>
  <si>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</si>
  <si>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</si>
  <si>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</si>
  <si>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</si>
  <si>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</si>
  <si>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</si>
  <si>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</si>
  <si>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</si>
  <si>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</si>
  <si>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</si>
  <si>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</si>
  <si>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</si>
  <si>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</si>
  <si>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</si>
  <si>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</si>
  <si>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</si>
  <si>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</si>
  <si>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</si>
  <si>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</si>
  <si>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</si>
  <si>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</si>
  <si>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</si>
  <si>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</si>
  <si>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</si>
  <si>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</si>
  <si>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</si>
  <si>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</si>
  <si>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</si>
  <si>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</si>
  <si>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</si>
  <si>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</si>
  <si>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</si>
  <si>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</si>
  <si>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</si>
  <si>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</si>
  <si>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</si>
  <si>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</si>
  <si>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</si>
  <si>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</si>
  <si>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</si>
  <si>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</si>
  <si>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</si>
  <si>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</si>
  <si>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</si>
  <si>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</si>
  <si>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</si>
  <si>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</si>
  <si>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</si>
  <si>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</si>
  <si>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</si>
  <si>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</si>
  <si>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</si>
  <si>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</si>
  <si>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</si>
  <si>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</si>
  <si>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</si>
  <si>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</si>
  <si>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</si>
  <si>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</si>
  <si>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</si>
  <si>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</si>
  <si>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</si>
  <si>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</si>
  <si>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</si>
  <si>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</si>
  <si>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</si>
  <si>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</si>
  <si>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</si>
  <si>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</si>
  <si>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</si>
  <si>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</si>
  <si>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</si>
  <si>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</si>
  <si>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</si>
  <si>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</si>
  <si>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</si>
  <si>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</si>
  <si>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</si>
  <si>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</si>
  <si>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</si>
  <si>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</si>
  <si>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</si>
  <si>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</si>
  <si>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</si>
  <si>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</si>
  <si>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</si>
  <si>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</si>
  <si>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</si>
  <si>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</si>
  <si>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</si>
  <si>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</si>
  <si>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</si>
  <si>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</si>
  <si>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</si>
  <si>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</si>
  <si>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</si>
  <si>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</si>
  <si>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</si>
  <si>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</si>
  <si>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</si>
  <si>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</si>
  <si>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</si>
  <si>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</si>
  <si>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</si>
  <si>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</si>
  <si>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</si>
  <si>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</si>
  <si>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</si>
  <si>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</si>
  <si>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</si>
  <si>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</si>
  <si>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</si>
  <si>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</si>
  <si>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</si>
  <si>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</si>
  <si>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</si>
  <si>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</si>
  <si>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</si>
  <si>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</si>
  <si>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</si>
  <si>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</si>
  <si>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</si>
  <si>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</si>
  <si>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</si>
  <si>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</si>
  <si>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</si>
  <si>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</si>
  <si>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</si>
  <si>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</si>
  <si>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</si>
  <si>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</si>
  <si>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</si>
  <si>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</si>
  <si>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</si>
  <si>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</si>
  <si>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</si>
  <si>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</si>
  <si>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</si>
  <si>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</si>
  <si>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</si>
  <si>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</si>
  <si>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</si>
  <si>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</si>
  <si>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</si>
  <si>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</si>
  <si>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</si>
  <si>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</si>
  <si>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</si>
  <si>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</si>
  <si>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</si>
  <si>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</si>
  <si>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</si>
  <si>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</si>
  <si>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</si>
  <si>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</si>
  <si>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</si>
  <si>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</si>
  <si>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</si>
  <si>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</si>
  <si>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</si>
  <si>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</si>
  <si>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</si>
  <si>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</si>
  <si>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</si>
  <si>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</si>
  <si>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</si>
  <si>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</si>
  <si>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</si>
  <si>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</si>
  <si>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</si>
  <si>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</si>
  <si>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</si>
  <si>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</si>
  <si>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</si>
  <si>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</si>
  <si>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</si>
  <si>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</si>
  <si>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</si>
  <si>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</si>
  <si>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</si>
  <si>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</si>
  <si>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</si>
  <si>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</si>
  <si>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</si>
  <si>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</si>
  <si>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</si>
  <si>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</si>
  <si>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</si>
  <si>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</si>
  <si>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</si>
  <si>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</si>
  <si>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</si>
  <si>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</si>
  <si>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</si>
  <si>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</si>
  <si>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</si>
  <si>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</si>
  <si>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</si>
  <si>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</si>
  <si>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</si>
  <si>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</si>
  <si>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</si>
  <si>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</si>
  <si>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</si>
  <si>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</si>
  <si>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</si>
  <si>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</si>
  <si>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</si>
  <si>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</si>
  <si>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</si>
  <si>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</si>
  <si>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</si>
  <si>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</si>
  <si>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</si>
  <si>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</si>
  <si>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</si>
  <si>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</si>
  <si>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</si>
  <si>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</si>
  <si>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</si>
  <si>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</si>
  <si>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</si>
  <si>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</si>
  <si>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</si>
  <si>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</si>
  <si>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</si>
  <si>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</si>
  <si>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</si>
  <si>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</si>
  <si>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</si>
  <si>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</si>
  <si>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</si>
  <si>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</si>
  <si>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</si>
  <si>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</si>
  <si>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</si>
  <si>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</si>
  <si>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</si>
  <si>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</si>
  <si>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</si>
  <si>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</si>
  <si>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</si>
  <si>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</si>
  <si>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</si>
  <si>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</si>
  <si>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</si>
  <si>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</si>
  <si>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</si>
  <si>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</si>
  <si>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</si>
  <si>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</si>
  <si>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</si>
  <si>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</si>
  <si>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</si>
  <si>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</si>
  <si>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</si>
  <si>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</si>
  <si>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</si>
  <si>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</si>
  <si>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</si>
  <si>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</si>
  <si>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</si>
  <si>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</si>
  <si>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</si>
  <si>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</si>
  <si>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</si>
  <si>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</si>
  <si>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</si>
  <si>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</si>
  <si>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</si>
  <si>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</si>
  <si>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</si>
  <si>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</si>
  <si>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</si>
  <si>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</si>
  <si>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</si>
  <si>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</si>
  <si>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</si>
  <si>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</si>
  <si>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</si>
  <si>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</si>
  <si>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</si>
  <si>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</si>
  <si>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</si>
  <si>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</si>
  <si>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</si>
  <si>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</si>
  <si>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</si>
  <si>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</si>
  <si>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</si>
  <si>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</si>
  <si>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</si>
  <si>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</si>
  <si>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</si>
  <si>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</si>
  <si>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</si>
  <si>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</si>
  <si>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</si>
  <si>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</si>
  <si>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</si>
  <si>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</si>
  <si>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</si>
  <si>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</si>
  <si>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</si>
  <si>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</si>
  <si>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</si>
  <si>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</si>
  <si>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</si>
  <si>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</si>
  <si>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</si>
  <si>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</si>
  <si>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</si>
  <si>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</si>
  <si>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</si>
  <si>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</si>
  <si>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</si>
  <si>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</si>
  <si>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</si>
  <si>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</si>
  <si>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</si>
  <si>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</si>
  <si>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</si>
  <si>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</si>
  <si>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</si>
  <si>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</si>
  <si>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</si>
  <si>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</si>
  <si>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</si>
  <si>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</si>
  <si>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</si>
  <si>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</si>
  <si>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</si>
  <si>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</si>
  <si>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</si>
  <si>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</si>
  <si>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</si>
  <si>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</si>
  <si>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</si>
  <si>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</si>
  <si>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</si>
  <si>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</si>
  <si>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</si>
  <si>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</si>
  <si>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</si>
  <si>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</si>
  <si>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</si>
  <si>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</si>
  <si>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</si>
  <si>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</si>
  <si>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</si>
  <si>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</si>
  <si>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</si>
  <si>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</si>
  <si>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</si>
  <si>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</si>
  <si>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</si>
  <si>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</si>
  <si>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</si>
  <si>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</si>
  <si>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</si>
  <si>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</si>
  <si>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</si>
  <si>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</si>
  <si>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</si>
  <si>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</si>
  <si>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</si>
  <si>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</si>
  <si>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</si>
  <si>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</si>
  <si>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</si>
  <si>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</si>
  <si>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</si>
  <si>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</si>
  <si>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</si>
  <si>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</si>
  <si>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</si>
  <si>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</si>
  <si>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</si>
  <si>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</si>
  <si>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</si>
  <si>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</si>
  <si>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</si>
  <si>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</si>
  <si>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</si>
  <si>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</si>
  <si>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</si>
  <si>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</si>
  <si>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</si>
  <si>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</si>
  <si>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</si>
  <si>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</si>
  <si>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</si>
  <si>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</si>
  <si>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</si>
  <si>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</si>
  <si>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</si>
  <si>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</si>
  <si>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</si>
  <si>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</si>
  <si>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</si>
  <si>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</si>
  <si>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</si>
  <si>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</si>
  <si>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</si>
  <si>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</si>
  <si>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</si>
  <si>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</si>
  <si>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</si>
  <si>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</si>
  <si>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</si>
  <si>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</si>
  <si>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</si>
  <si>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</si>
  <si>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</si>
  <si>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</si>
  <si>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</si>
  <si>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</si>
  <si>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</si>
  <si>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</si>
  <si>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</si>
  <si>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</si>
  <si>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</si>
  <si>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</si>
  <si>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</si>
  <si>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</si>
  <si>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</si>
  <si>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</si>
  <si>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</si>
  <si>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</si>
  <si>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</si>
  <si>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</si>
  <si>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</si>
  <si>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</si>
  <si>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</si>
  <si>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</si>
  <si>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</si>
  <si>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</si>
  <si>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</si>
  <si>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</si>
  <si>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</si>
  <si>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</si>
  <si>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</si>
  <si>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</si>
  <si>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</si>
  <si>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</si>
  <si>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</si>
  <si>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</si>
  <si>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</si>
  <si>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</si>
  <si>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</si>
  <si>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</si>
  <si>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</si>
  <si>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</si>
  <si>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</si>
  <si>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</si>
  <si>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</si>
  <si>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</si>
  <si>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</si>
  <si>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</si>
  <si>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</si>
  <si>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</si>
  <si>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</si>
  <si>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</si>
  <si>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</si>
  <si>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</si>
  <si>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</si>
  <si>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</si>
  <si>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</si>
  <si>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</si>
  <si>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</si>
  <si>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</si>
  <si>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</si>
  <si>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</si>
  <si>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</si>
  <si>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</si>
  <si>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</si>
  <si>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</si>
  <si>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</si>
  <si>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</si>
  <si>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</si>
  <si>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</si>
  <si>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</si>
  <si>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</si>
  <si>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</si>
  <si>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</si>
  <si>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</si>
  <si>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</si>
  <si>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</si>
  <si>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</si>
  <si>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</si>
  <si>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</si>
  <si>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</si>
  <si>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</si>
  <si>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</si>
  <si>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</si>
  <si>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</si>
  <si>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</si>
  <si>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</si>
  <si>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</si>
  <si>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</si>
  <si>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</si>
  <si>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</si>
  <si>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</si>
  <si>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</si>
  <si>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</si>
  <si>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</si>
  <si>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</si>
  <si>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</si>
  <si>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</si>
  <si>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</si>
  <si>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</si>
  <si>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</si>
  <si>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</si>
  <si>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</si>
  <si>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</si>
  <si>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</si>
  <si>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</si>
  <si>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</si>
  <si>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</si>
  <si>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</si>
  <si>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</si>
  <si>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</si>
  <si>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</si>
  <si>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</si>
  <si>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</si>
  <si>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</si>
  <si>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</si>
  <si>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</si>
  <si>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</si>
  <si>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</si>
  <si>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</si>
  <si>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</si>
  <si>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</si>
  <si>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</si>
  <si>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</si>
  <si>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</si>
  <si>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</si>
  <si>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</si>
  <si>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</si>
  <si>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</si>
  <si>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</si>
  <si>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</si>
  <si>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</si>
  <si>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</si>
  <si>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</si>
  <si>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</si>
  <si>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</si>
  <si>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</si>
  <si>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</si>
  <si>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</si>
  <si>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</si>
  <si>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</si>
  <si>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</si>
  <si>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</si>
  <si>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</si>
  <si>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</si>
  <si>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</si>
  <si>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</si>
  <si>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</si>
  <si>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</si>
  <si>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</si>
  <si>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</si>
  <si>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</si>
  <si>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</si>
  <si>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</si>
  <si>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</si>
  <si>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</si>
  <si>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</si>
  <si>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</si>
  <si>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</si>
  <si>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</si>
  <si>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</si>
  <si>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</si>
  <si>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</si>
  <si>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</si>
  <si>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</si>
  <si>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</si>
  <si>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</si>
  <si>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</si>
  <si>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</si>
  <si>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</si>
  <si>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</si>
  <si>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</si>
  <si>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</si>
  <si>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</si>
  <si>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</si>
  <si>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</si>
  <si>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</si>
  <si>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</si>
  <si>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</si>
  <si>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</si>
  <si>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</si>
  <si>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</si>
  <si>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</si>
  <si>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</si>
  <si>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</si>
  <si>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</si>
  <si>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</si>
  <si>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</si>
  <si>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</si>
  <si>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</si>
  <si>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</si>
  <si>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</si>
  <si>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</si>
  <si>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</si>
  <si>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</si>
  <si>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</si>
  <si>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</si>
  <si>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</si>
  <si>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</si>
  <si>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</si>
  <si>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</si>
  <si>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</si>
  <si>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</si>
  <si>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</si>
  <si>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</si>
  <si>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</si>
  <si>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</si>
  <si>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</si>
  <si>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</si>
  <si>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</si>
  <si>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</si>
  <si>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</si>
  <si>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</si>
  <si>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</si>
  <si>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</si>
  <si>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</si>
  <si>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</si>
  <si>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</si>
  <si>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</si>
  <si>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</si>
  <si>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</si>
  <si>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</si>
  <si>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</si>
  <si>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</si>
  <si>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</si>
  <si>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</si>
  <si>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</si>
  <si>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</si>
  <si>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</si>
  <si>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</si>
  <si>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</si>
  <si>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</si>
  <si>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</si>
  <si>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</si>
  <si>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</si>
  <si>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</si>
  <si>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</si>
  <si>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</si>
  <si>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</si>
  <si>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</si>
  <si>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</si>
  <si>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</si>
  <si>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</si>
  <si>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</si>
  <si>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</si>
  <si>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</si>
  <si>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</si>
  <si>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</si>
  <si>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</si>
  <si>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</si>
  <si>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</si>
  <si>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</si>
  <si>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</si>
  <si>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</si>
  <si>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</si>
  <si>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</si>
  <si>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</si>
  <si>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</si>
  <si>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</si>
  <si>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</si>
  <si>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</si>
  <si>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</si>
  <si>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</si>
  <si>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</si>
  <si>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</si>
  <si>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</si>
  <si>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</si>
  <si>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</si>
  <si>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</si>
  <si>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</si>
  <si>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</si>
  <si>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</si>
  <si>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</si>
  <si>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</si>
  <si>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</si>
  <si>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</si>
  <si>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</si>
  <si>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</si>
  <si>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</si>
  <si>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</si>
  <si>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</si>
  <si>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</si>
  <si>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</si>
  <si>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</si>
  <si>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</si>
  <si>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</si>
  <si>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</si>
  <si>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</si>
  <si>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</si>
  <si>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</si>
  <si>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</si>
  <si>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</si>
  <si>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</si>
  <si>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</si>
  <si>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</si>
  <si>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</si>
  <si>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</si>
  <si>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</si>
  <si>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</si>
  <si>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</si>
  <si>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</si>
  <si>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</si>
  <si>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</si>
  <si>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</si>
  <si>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</si>
  <si>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</si>
  <si>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</si>
  <si>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</si>
  <si>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</si>
  <si>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</si>
  <si>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</si>
  <si>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</si>
  <si>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</si>
  <si>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</si>
  <si>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</si>
  <si>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</si>
  <si>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</si>
  <si>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</si>
  <si>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</si>
  <si>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</si>
  <si>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</si>
  <si>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</si>
  <si>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</si>
  <si>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</si>
  <si>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</si>
  <si>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</si>
  <si>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</si>
  <si>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</si>
  <si>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</si>
  <si>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</si>
  <si>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</si>
  <si>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</si>
  <si>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</si>
  <si>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</si>
  <si>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</si>
  <si>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</si>
  <si>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</si>
  <si>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</si>
  <si>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</si>
  <si>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</si>
  <si>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</si>
  <si>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</si>
  <si>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</si>
  <si>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</si>
  <si>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</si>
  <si>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</si>
  <si>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</si>
  <si>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</si>
  <si>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</si>
  <si>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</si>
  <si>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</si>
  <si>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</si>
  <si>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</si>
  <si>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</si>
  <si>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</si>
  <si>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</si>
  <si>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</si>
  <si>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</si>
  <si>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</si>
  <si>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</si>
  <si>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</si>
  <si>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</si>
  <si>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</si>
  <si>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</si>
  <si>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</si>
  <si>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</si>
  <si>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</si>
  <si>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</si>
  <si>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</si>
  <si>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</si>
  <si>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</si>
  <si>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</si>
  <si>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</si>
  <si>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</si>
  <si>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</si>
  <si>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</si>
  <si>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</si>
  <si>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</si>
  <si>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</si>
  <si>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</si>
  <si>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</si>
  <si>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</si>
  <si>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</si>
  <si>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</si>
  <si>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</si>
  <si>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</si>
  <si>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</si>
  <si>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</si>
  <si>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</si>
  <si>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</si>
  <si>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</si>
  <si>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</si>
  <si>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</si>
  <si>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</si>
  <si>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</si>
  <si>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</si>
  <si>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</si>
  <si>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</si>
  <si>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</si>
  <si>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</si>
  <si>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</si>
  <si>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</si>
  <si>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</si>
  <si>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</si>
  <si>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</si>
  <si>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</si>
  <si>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</si>
  <si>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</si>
  <si>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</si>
  <si>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</si>
  <si>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</si>
  <si>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</si>
  <si>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</si>
  <si>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</si>
  <si>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</si>
  <si>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</si>
  <si>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</si>
  <si>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</si>
  <si>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</si>
  <si>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</si>
  <si>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</si>
  <si>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</si>
  <si>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</si>
  <si>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</si>
  <si>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</si>
  <si>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</si>
  <si>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</si>
  <si>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</si>
  <si>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</si>
  <si>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</si>
  <si>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</si>
  <si>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</si>
  <si>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</si>
  <si>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</si>
  <si>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</si>
  <si>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</si>
  <si>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</si>
  <si>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</si>
  <si>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</si>
  <si>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</si>
  <si>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</si>
  <si>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</si>
  <si>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</si>
  <si>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</si>
  <si>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</si>
  <si>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</si>
  <si>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</si>
  <si>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</si>
  <si>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</si>
  <si>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</si>
  <si>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</si>
  <si>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</si>
  <si>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</si>
  <si>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</si>
  <si>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</si>
  <si>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</si>
  <si>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</si>
  <si>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</si>
  <si>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</si>
  <si>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</si>
  <si>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</si>
  <si>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</si>
  <si>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</si>
  <si>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</si>
  <si>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</si>
  <si>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</si>
  <si>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</si>
  <si>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</si>
  <si>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</si>
  <si>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</si>
  <si>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</si>
  <si>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</si>
  <si>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</si>
  <si>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</si>
  <si>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</si>
  <si>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</si>
  <si>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</si>
  <si>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</si>
  <si>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</si>
  <si>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</si>
  <si>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</si>
  <si>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</si>
  <si>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</si>
  <si>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</si>
  <si>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</si>
  <si>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</si>
  <si>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</si>
  <si>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</si>
  <si>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</si>
  <si>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</si>
  <si>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</si>
  <si>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</si>
  <si>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</si>
  <si>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</si>
  <si>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</si>
  <si>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</si>
  <si>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</si>
  <si>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</si>
  <si>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</si>
  <si>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</si>
  <si>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</si>
  <si>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</si>
  <si>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</si>
  <si>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</si>
  <si>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</si>
  <si>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</si>
  <si>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</si>
  <si>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</si>
  <si>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</si>
  <si>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</si>
  <si>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</si>
  <si>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</si>
  <si>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</si>
  <si>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</si>
  <si>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</si>
  <si>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</si>
  <si>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</si>
  <si>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</si>
  <si>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</si>
  <si>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</si>
  <si>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</si>
  <si>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</si>
  <si>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</si>
  <si>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</si>
  <si>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</si>
  <si>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</si>
  <si>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</si>
  <si>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</si>
  <si>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</si>
  <si>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</si>
  <si>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</si>
  <si>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</si>
  <si>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</si>
  <si>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</si>
  <si>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</si>
  <si>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</si>
  <si>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</si>
  <si>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</si>
  <si>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</si>
  <si>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</si>
  <si>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</si>
  <si>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</si>
  <si>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</si>
  <si>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</si>
  <si>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</si>
  <si>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</si>
  <si>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</si>
  <si>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</si>
  <si>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</si>
  <si>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</si>
  <si>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</si>
  <si>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</si>
  <si>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</si>
  <si>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</si>
  <si>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</si>
  <si>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</si>
  <si>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</si>
  <si>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</si>
  <si>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</si>
  <si>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</si>
  <si>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</si>
  <si>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</si>
  <si>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</si>
  <si>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</si>
  <si>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</si>
  <si>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</si>
  <si>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</si>
  <si>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</si>
  <si>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</si>
  <si>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</si>
  <si>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</si>
  <si>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</si>
  <si>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</si>
  <si>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</si>
  <si>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</si>
  <si>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</si>
  <si>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</si>
  <si>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</si>
  <si>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</si>
  <si>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</si>
  <si>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</si>
  <si>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</si>
  <si>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</si>
  <si>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</si>
  <si>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</si>
  <si>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</si>
  <si>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</si>
  <si>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</si>
  <si>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</si>
  <si>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</si>
  <si>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</si>
  <si>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</si>
  <si>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</si>
  <si>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</si>
  <si>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</si>
  <si>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</si>
  <si>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</si>
  <si>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</si>
  <si>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</si>
  <si>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</si>
  <si>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</si>
  <si>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</si>
  <si>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</si>
  <si>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</si>
  <si>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</si>
  <si>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</si>
  <si>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</si>
  <si>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</si>
  <si>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</si>
  <si>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</si>
  <si>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</si>
  <si>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</si>
  <si>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</si>
  <si>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</si>
  <si>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</si>
  <si>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</si>
  <si>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</si>
  <si>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</si>
  <si>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</si>
  <si>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</si>
  <si>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</si>
  <si>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</si>
  <si>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</si>
  <si>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</si>
  <si>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</si>
  <si>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</si>
  <si>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</si>
  <si>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</si>
  <si>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</si>
  <si>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</si>
  <si>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</si>
  <si>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</si>
  <si>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</si>
  <si>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</si>
  <si>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</si>
  <si>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</si>
  <si>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</si>
  <si>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</si>
  <si>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</si>
  <si>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</si>
  <si>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</si>
  <si>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</si>
  <si>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</si>
  <si>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</si>
  <si>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</si>
  <si>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</si>
  <si>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</si>
  <si>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</si>
  <si>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</si>
  <si>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</si>
  <si>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</si>
  <si>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</si>
  <si>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</si>
  <si>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</si>
  <si>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</si>
  <si>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</si>
  <si>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</si>
  <si>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</si>
  <si>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</si>
  <si>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</si>
  <si>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</si>
  <si>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</si>
  <si>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</si>
  <si>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</si>
  <si>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</si>
  <si>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</si>
  <si>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</si>
  <si>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</si>
  <si>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</si>
  <si>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</si>
  <si>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</si>
  <si>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</si>
  <si>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</si>
  <si>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</si>
  <si>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</si>
  <si>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</si>
  <si>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</si>
  <si>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</si>
  <si>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</si>
  <si>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</si>
  <si>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</si>
  <si>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</si>
  <si>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</si>
  <si>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</si>
  <si>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</si>
  <si>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</si>
  <si>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</si>
  <si>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</si>
  <si>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</si>
  <si>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</si>
  <si>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</si>
  <si>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</si>
  <si>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</si>
  <si>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</si>
  <si>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</si>
  <si>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</si>
  <si>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</si>
  <si>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</si>
  <si>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</si>
  <si>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</si>
  <si>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</si>
  <si>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</si>
  <si>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</si>
  <si>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</si>
  <si>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</si>
  <si>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</si>
  <si>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</si>
  <si>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</si>
  <si>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</si>
  <si>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</si>
  <si>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</si>
  <si>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</si>
  <si>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</si>
  <si>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</si>
  <si>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</si>
  <si>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</si>
  <si>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</si>
  <si>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</si>
  <si>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</si>
  <si>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</si>
  <si>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</si>
  <si>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</si>
  <si>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</si>
  <si>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</si>
  <si>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</si>
  <si>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</si>
  <si>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</si>
  <si>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</si>
  <si>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</si>
  <si>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</si>
  <si>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</si>
  <si>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</si>
  <si>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</si>
  <si>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</si>
  <si>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</si>
  <si>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</si>
  <si>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</si>
  <si>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</si>
  <si>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</si>
  <si>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</si>
  <si>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</si>
  <si>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</si>
  <si>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</si>
  <si>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</si>
  <si>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</si>
  <si>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</si>
  <si>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</si>
  <si>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</si>
  <si>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</si>
  <si>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</si>
  <si>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</si>
  <si>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</si>
  <si>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</si>
  <si>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</si>
  <si>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</si>
  <si>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</si>
  <si>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</si>
  <si>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</si>
  <si>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</si>
  <si>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</si>
  <si>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</si>
  <si>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</si>
  <si>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</si>
  <si>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</si>
  <si>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</si>
  <si>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</si>
  <si>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</si>
  <si>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</si>
  <si>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</si>
  <si>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</si>
  <si>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</si>
  <si>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</si>
  <si>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</si>
  <si>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</si>
  <si>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</si>
  <si>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</si>
  <si>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</si>
  <si>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</si>
  <si>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</si>
  <si>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</si>
  <si>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</si>
  <si>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</si>
  <si>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</si>
  <si>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</si>
  <si>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</si>
  <si>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</si>
  <si>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</si>
  <si>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</si>
  <si>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</si>
  <si>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</si>
  <si>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</si>
  <si>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</si>
  <si>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</si>
  <si>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</si>
  <si>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</si>
  <si>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</si>
  <si>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</si>
  <si>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</si>
  <si>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</si>
  <si>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</si>
  <si>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</si>
  <si>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</si>
  <si>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</si>
  <si>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</si>
  <si>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</si>
  <si>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</si>
  <si>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</si>
  <si>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</si>
  <si>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</si>
  <si>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</si>
  <si>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</si>
  <si>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</si>
  <si>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</si>
  <si>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</si>
  <si>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</si>
  <si>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</si>
  <si>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</si>
  <si>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</si>
  <si>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</si>
  <si>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</si>
  <si>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</si>
  <si>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</si>
  <si>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</si>
  <si>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</si>
  <si>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</si>
  <si>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</si>
  <si>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</si>
  <si>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</si>
  <si>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</si>
  <si>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</si>
  <si>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</si>
  <si>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</si>
  <si>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</si>
  <si>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</si>
  <si>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</si>
  <si>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</si>
  <si>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</si>
  <si>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</si>
  <si>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</si>
  <si>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</si>
  <si>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</si>
  <si>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</si>
  <si>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</si>
  <si>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</si>
  <si>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</si>
  <si>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</si>
  <si>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</si>
  <si>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</si>
  <si>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</si>
  <si>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</si>
  <si>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</si>
  <si>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</si>
  <si>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</si>
  <si>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</si>
  <si>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</si>
  <si>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</si>
  <si>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</si>
  <si>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</si>
  <si>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</si>
  <si>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</si>
  <si>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</si>
  <si>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</si>
  <si>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</si>
  <si>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</si>
  <si>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</si>
  <si>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</si>
  <si>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</si>
  <si>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</si>
  <si>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</si>
  <si>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</si>
  <si>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</si>
  <si>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</si>
  <si>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</si>
  <si>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</si>
  <si>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</si>
  <si>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</si>
  <si>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</si>
  <si>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</si>
  <si>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</si>
  <si>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</si>
  <si>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</si>
  <si>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</si>
  <si>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</si>
  <si>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</si>
  <si>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</si>
  <si>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</si>
  <si>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</si>
  <si>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</si>
  <si>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</si>
  <si>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</si>
  <si>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</si>
  <si>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</si>
  <si>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</si>
  <si>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</si>
  <si>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</si>
  <si>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</si>
  <si>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</si>
  <si>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</si>
  <si>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</si>
  <si>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</si>
  <si>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</si>
  <si>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</si>
  <si>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</si>
  <si>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</si>
  <si>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</si>
  <si>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</si>
  <si>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</si>
  <si>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</si>
  <si>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</si>
  <si>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</si>
  <si>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</si>
  <si>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</si>
  <si>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</si>
  <si>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</si>
  <si>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</si>
  <si>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</si>
  <si>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</si>
  <si>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</si>
  <si>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</si>
  <si>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</si>
  <si>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</si>
  <si>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</si>
  <si>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</si>
  <si>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</si>
  <si>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</si>
  <si>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</si>
  <si>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</si>
  <si>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</si>
  <si>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</si>
  <si>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</si>
  <si>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</si>
  <si>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</si>
  <si>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</si>
  <si>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</si>
  <si>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</si>
  <si>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</si>
  <si>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</si>
  <si>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</si>
  <si>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</si>
  <si>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</si>
  <si>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</si>
  <si>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</si>
  <si>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</si>
  <si>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</si>
  <si>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</si>
  <si>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</si>
  <si>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</si>
  <si>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</si>
  <si>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</si>
  <si>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</si>
  <si>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</si>
  <si>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</si>
  <si>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</si>
  <si>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</si>
  <si>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</si>
  <si>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</si>
  <si>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</si>
  <si>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</si>
  <si>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</si>
  <si>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</si>
  <si>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</si>
  <si>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</si>
  <si>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</si>
  <si>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</si>
  <si>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</si>
  <si>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</si>
  <si>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</si>
  <si>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</si>
  <si>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</si>
  <si>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</si>
  <si>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</si>
  <si>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</si>
  <si>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</si>
  <si>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</si>
  <si>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</si>
  <si>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</si>
  <si>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</si>
  <si>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</si>
  <si>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</si>
  <si>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</si>
  <si>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</si>
  <si>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</si>
  <si>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</si>
  <si>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</si>
  <si>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</si>
  <si>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</si>
  <si>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</si>
  <si>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</si>
  <si>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</si>
  <si>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</si>
  <si>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</si>
  <si>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</si>
  <si>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</si>
  <si>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</si>
  <si>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</si>
  <si>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</si>
  <si>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</si>
  <si>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</si>
  <si>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</si>
  <si>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</si>
  <si>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</si>
  <si>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</si>
  <si>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</si>
  <si>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</si>
  <si>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</si>
  <si>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</si>
  <si>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</si>
  <si>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</si>
  <si>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</si>
  <si>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</si>
  <si>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</si>
  <si>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</si>
  <si>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</si>
  <si>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</si>
  <si>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</si>
  <si>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</si>
  <si>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</si>
  <si>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</si>
  <si>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</si>
  <si>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</si>
  <si>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</si>
  <si>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</si>
  <si>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</si>
  <si>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</si>
  <si>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</si>
  <si>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</si>
  <si>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</si>
  <si>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</si>
  <si>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</si>
  <si>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</si>
  <si>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</si>
  <si>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</si>
  <si>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</si>
  <si>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</si>
  <si>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</si>
  <si>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</si>
  <si>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</si>
  <si>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</si>
  <si>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</si>
  <si>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</si>
  <si>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</si>
  <si>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</si>
  <si>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</si>
  <si>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</si>
  <si>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</si>
  <si>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</si>
  <si>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</si>
  <si>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</si>
  <si>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</si>
  <si>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</si>
  <si>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</si>
  <si>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</si>
  <si>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</si>
  <si>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</si>
  <si>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</si>
  <si>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</si>
  <si>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</si>
  <si>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</si>
  <si>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</si>
  <si>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</si>
  <si>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</si>
  <si>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</si>
  <si>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</si>
  <si>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</si>
  <si>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</si>
  <si>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</si>
  <si>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</si>
  <si>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</si>
  <si>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</si>
  <si>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</si>
  <si>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</si>
  <si>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</si>
  <si>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</si>
  <si>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</si>
  <si>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</si>
  <si>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</si>
  <si>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</si>
  <si>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</si>
  <si>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</si>
  <si>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</si>
  <si>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</si>
  <si>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</si>
  <si>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</si>
  <si>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</si>
  <si>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</si>
  <si>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</si>
  <si>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</si>
  <si>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</si>
  <si>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</si>
  <si>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</si>
  <si>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</si>
  <si>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</si>
  <si>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</si>
  <si>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</si>
  <si>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</si>
  <si>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</si>
  <si>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</si>
  <si>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</si>
  <si>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</si>
  <si>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</si>
  <si>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</si>
  <si>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</si>
  <si>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</si>
  <si>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</si>
  <si>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</si>
  <si>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</si>
  <si>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</si>
  <si>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</si>
  <si>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</si>
  <si>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</si>
  <si>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</si>
  <si>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</si>
  <si>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</si>
  <si>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</si>
  <si>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</si>
  <si>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</si>
  <si>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</si>
  <si>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</si>
  <si>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</si>
  <si>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</si>
  <si>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</si>
  <si>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</si>
  <si>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</si>
  <si>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</si>
  <si>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</si>
  <si>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</si>
  <si>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</si>
  <si>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</si>
  <si>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</si>
  <si>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</si>
  <si>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</si>
  <si>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</si>
  <si>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</si>
  <si>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</si>
  <si>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</si>
  <si>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</si>
  <si>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</si>
  <si>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</si>
  <si>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</si>
  <si>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</si>
  <si>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</si>
  <si>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</si>
  <si>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</si>
  <si>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</si>
  <si>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</si>
  <si>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</si>
  <si>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</si>
  <si>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</si>
  <si>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</si>
  <si>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</si>
  <si>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</si>
  <si>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</si>
  <si>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</si>
  <si>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</si>
  <si>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</si>
  <si>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</si>
  <si>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</si>
  <si>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</si>
  <si>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</si>
  <si>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</si>
  <si>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</si>
  <si>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</si>
  <si>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</si>
  <si>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</si>
  <si>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</si>
  <si>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</si>
  <si>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</si>
  <si>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</si>
  <si>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</si>
  <si>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</si>
  <si>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</si>
  <si>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</si>
  <si>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</si>
  <si>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</si>
  <si>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</si>
  <si>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</si>
  <si>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</si>
  <si>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</si>
  <si>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</si>
  <si>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</si>
  <si>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</si>
  <si>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</si>
  <si>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</si>
  <si>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</si>
  <si>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</si>
  <si>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</si>
  <si>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</si>
  <si>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</si>
  <si>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</si>
  <si>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</si>
  <si>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</si>
  <si>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</si>
  <si>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</si>
  <si>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</si>
  <si>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</si>
  <si>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</si>
  <si>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</si>
  <si>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</si>
  <si>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</si>
  <si>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</si>
  <si>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</si>
  <si>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</si>
  <si>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</si>
  <si>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</si>
  <si>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</si>
  <si>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</si>
  <si>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</si>
  <si>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</si>
  <si>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</si>
  <si>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</si>
  <si>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</si>
  <si>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</si>
  <si>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</si>
  <si>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</si>
  <si>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</si>
  <si>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</si>
  <si>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</si>
  <si>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</si>
  <si>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</si>
  <si>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</si>
  <si>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</si>
  <si>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</si>
  <si>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</si>
  <si>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</si>
  <si>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</si>
  <si>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</si>
  <si>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</si>
  <si>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</si>
  <si>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</si>
  <si>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</si>
  <si>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</si>
  <si>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</si>
  <si>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</si>
  <si>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</si>
  <si>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</si>
  <si>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</si>
  <si>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</si>
  <si>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</si>
  <si>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</si>
  <si>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</si>
  <si>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</si>
  <si>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</si>
  <si>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</si>
  <si>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</si>
  <si>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</si>
  <si>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</si>
  <si>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</si>
  <si>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</si>
  <si>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</si>
  <si>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</si>
  <si>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</si>
  <si>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</si>
  <si>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</si>
  <si>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</si>
  <si>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</si>
  <si>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</si>
  <si>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</si>
  <si>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</si>
  <si>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</si>
  <si>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</si>
  <si>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</si>
  <si>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</si>
  <si>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</si>
  <si>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</si>
  <si>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</si>
  <si>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</si>
  <si>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</si>
  <si>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</si>
  <si>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</si>
  <si>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</si>
  <si>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</si>
  <si>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</si>
  <si>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</si>
  <si>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</si>
  <si>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</si>
  <si>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</si>
  <si>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</si>
  <si>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</si>
  <si>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</si>
  <si>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</si>
  <si>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</si>
  <si>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</si>
  <si>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</si>
  <si>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</si>
  <si>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</si>
  <si>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</si>
  <si>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</si>
  <si>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</si>
  <si>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</si>
  <si>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</si>
  <si>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</si>
  <si>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</si>
  <si>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</si>
  <si>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</si>
  <si>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</si>
  <si>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</si>
  <si>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</si>
  <si>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</si>
  <si>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</si>
  <si>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</si>
  <si>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</si>
  <si>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</si>
  <si>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</si>
  <si>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</si>
  <si>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</si>
  <si>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</si>
  <si>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</si>
  <si>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</si>
  <si>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</si>
  <si>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</si>
  <si>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</si>
  <si>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</si>
  <si>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</si>
  <si>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</si>
  <si>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</si>
  <si>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</si>
  <si>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</si>
  <si>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</si>
  <si>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</si>
  <si>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</si>
  <si>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</si>
  <si>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</si>
  <si>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</si>
  <si>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</si>
  <si>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</si>
  <si>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</si>
  <si>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</si>
  <si>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</si>
  <si>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</si>
  <si>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</si>
  <si>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</si>
  <si>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</si>
  <si>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</si>
  <si>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</si>
  <si>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</si>
  <si>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</si>
  <si>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</si>
  <si>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</si>
  <si>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</si>
  <si>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</si>
  <si>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</si>
  <si>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</si>
  <si>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</si>
  <si>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</si>
  <si>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</si>
  <si>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</si>
  <si>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</si>
  <si>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</si>
  <si>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</si>
  <si>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</si>
  <si>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</si>
  <si>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</si>
  <si>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</si>
  <si>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</si>
  <si>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</si>
  <si>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</si>
  <si>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</si>
  <si>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</si>
  <si>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</si>
  <si>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</si>
  <si>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</si>
  <si>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</si>
  <si>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</si>
  <si>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</si>
  <si>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</si>
  <si>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</si>
  <si>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</si>
  <si>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</si>
  <si>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</si>
  <si>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</si>
  <si>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</si>
  <si>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</si>
  <si>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</si>
  <si>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</si>
  <si>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</si>
  <si>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</si>
  <si>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</si>
  <si>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</si>
  <si>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</si>
  <si>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</si>
  <si>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</si>
  <si>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</si>
  <si>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</si>
  <si>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</si>
  <si>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</si>
  <si>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</si>
  <si>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</si>
  <si>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</si>
  <si>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</si>
  <si>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</si>
  <si>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</si>
  <si>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</si>
  <si>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</si>
  <si>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</si>
  <si>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</si>
  <si>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</si>
  <si>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</si>
  <si>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</si>
  <si>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</si>
  <si>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</si>
  <si>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</si>
  <si>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</si>
  <si>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</si>
  <si>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</si>
  <si>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</si>
  <si>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</si>
  <si>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</si>
  <si>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</si>
  <si>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</si>
  <si>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</si>
  <si>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</si>
  <si>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</si>
  <si>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</si>
  <si>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</si>
  <si>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</si>
  <si>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</si>
  <si>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</si>
  <si>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</si>
  <si>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</si>
  <si>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</si>
  <si>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</si>
  <si>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</si>
  <si>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</si>
  <si>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</si>
  <si>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</si>
  <si>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</si>
  <si>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</si>
  <si>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</si>
  <si>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</si>
  <si>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</si>
  <si>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</si>
  <si>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</si>
  <si>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</si>
  <si>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</si>
  <si>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</si>
  <si>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</si>
  <si>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</si>
  <si>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</si>
  <si>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</si>
  <si>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</si>
  <si>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</si>
  <si>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</si>
  <si>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</si>
  <si>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</si>
  <si>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</si>
  <si>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</si>
  <si>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</si>
  <si>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</si>
  <si>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</si>
  <si>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</si>
  <si>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</si>
  <si>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</si>
  <si>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</si>
  <si>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</si>
  <si>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</si>
  <si>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</si>
  <si>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</si>
  <si>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</si>
  <si>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</si>
  <si>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</si>
  <si>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</si>
  <si>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</si>
  <si>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</si>
  <si>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</si>
  <si>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</si>
  <si>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</si>
  <si>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</si>
  <si>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</si>
  <si>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</si>
  <si>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</si>
  <si>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</si>
  <si>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</si>
  <si>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</si>
  <si>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</si>
  <si>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</si>
  <si>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</si>
  <si>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</si>
  <si>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</si>
  <si>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</si>
  <si>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</si>
  <si>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</si>
  <si>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</si>
  <si>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</si>
  <si>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</si>
  <si>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</si>
  <si>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</si>
  <si>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</si>
  <si>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</si>
  <si>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</si>
  <si>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</si>
  <si>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</si>
  <si>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</si>
  <si>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</si>
  <si>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</si>
  <si>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</si>
  <si>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</si>
  <si>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</si>
  <si>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</si>
  <si>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</si>
  <si>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</si>
  <si>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</si>
  <si>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</si>
  <si>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</si>
  <si>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</si>
  <si>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</si>
  <si>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</si>
  <si>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</si>
  <si>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</si>
  <si>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</si>
  <si>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</si>
  <si>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</si>
  <si>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</si>
  <si>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</si>
  <si>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</si>
  <si>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</si>
  <si>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</si>
  <si>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</si>
  <si>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</si>
  <si>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</si>
  <si>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</si>
  <si>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</si>
  <si>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</si>
  <si>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</si>
  <si>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</si>
  <si>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</si>
  <si>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</si>
  <si>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</si>
  <si>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</si>
  <si>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</si>
  <si>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</si>
  <si>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</si>
  <si>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</si>
  <si>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</si>
  <si>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</si>
  <si>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</si>
  <si>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</si>
  <si>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</si>
  <si>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</si>
  <si>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</si>
  <si>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</si>
  <si>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</si>
  <si>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</si>
  <si>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</si>
  <si>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</si>
  <si>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</si>
  <si>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</si>
  <si>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</si>
  <si>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</si>
  <si>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</si>
  <si>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</si>
  <si>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</si>
  <si>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</si>
  <si>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</si>
  <si>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</si>
  <si>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</si>
  <si>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</si>
  <si>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</si>
  <si>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</si>
  <si>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</si>
  <si>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</si>
  <si>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</si>
  <si>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</si>
  <si>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</si>
  <si>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</si>
  <si>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</si>
  <si>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</si>
  <si>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</si>
  <si>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</si>
  <si>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</si>
  <si>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</si>
  <si>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</si>
  <si>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</si>
  <si>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</si>
  <si>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</si>
  <si>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</si>
  <si>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</si>
  <si>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</si>
  <si>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</si>
  <si>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</si>
  <si>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</si>
  <si>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</si>
  <si>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</si>
  <si>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</si>
  <si>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</si>
  <si>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</si>
  <si>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</si>
  <si>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</si>
  <si>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</si>
  <si>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</si>
  <si>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</si>
  <si>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</si>
  <si>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</si>
  <si>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</si>
  <si>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</si>
  <si>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</si>
  <si>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</si>
  <si>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</si>
  <si>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</si>
  <si>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</si>
  <si>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</si>
  <si>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</si>
  <si>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</si>
  <si>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</si>
  <si>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</si>
  <si>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</si>
  <si>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</si>
  <si>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</si>
  <si>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</si>
  <si>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</si>
  <si>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</si>
  <si>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</si>
  <si>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</si>
  <si>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</si>
  <si>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</si>
  <si>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</si>
  <si>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</si>
  <si>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</si>
  <si>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</si>
  <si>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</si>
  <si>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</si>
  <si>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</si>
  <si>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</si>
  <si>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</si>
  <si>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</si>
  <si>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</si>
  <si>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</si>
  <si>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</si>
  <si>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</si>
  <si>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</si>
  <si>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</si>
  <si>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</si>
  <si>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</si>
  <si>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</si>
  <si>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</si>
  <si>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</si>
  <si>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</si>
  <si>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</si>
  <si>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</si>
  <si>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</si>
  <si>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</si>
  <si>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</si>
  <si>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</si>
  <si>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</si>
  <si>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</si>
  <si>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</si>
  <si>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</si>
  <si>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</si>
  <si>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</si>
  <si>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</si>
  <si>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</si>
  <si>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</si>
  <si>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</si>
  <si>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</si>
  <si>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</si>
  <si>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</si>
  <si>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</si>
  <si>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</si>
  <si>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</si>
  <si>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</si>
  <si>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</si>
  <si>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</si>
  <si>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</si>
  <si>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</si>
  <si>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</si>
  <si>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</si>
  <si>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</si>
  <si>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</si>
  <si>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</si>
  <si>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</si>
  <si>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</si>
  <si>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</si>
  <si>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</si>
  <si>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</si>
  <si>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</si>
  <si>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</si>
  <si>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</si>
  <si>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</si>
  <si>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</si>
  <si>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</si>
  <si>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</si>
  <si>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</si>
  <si>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</si>
  <si>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</si>
  <si>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</si>
  <si>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</si>
  <si>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</si>
  <si>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</si>
  <si>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</si>
  <si>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</si>
  <si>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</si>
  <si>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</si>
  <si>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</si>
  <si>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</si>
  <si>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</si>
  <si>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</si>
  <si>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</si>
  <si>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</si>
  <si>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</si>
  <si>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</si>
  <si>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</si>
  <si>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</si>
  <si>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</si>
  <si>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</si>
  <si>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</si>
  <si>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</si>
  <si>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</si>
  <si>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</si>
  <si>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</si>
  <si>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</si>
  <si>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</si>
  <si>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</si>
  <si>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</si>
  <si>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</si>
  <si>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</si>
  <si>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</si>
  <si>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</si>
  <si>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</si>
  <si>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</si>
  <si>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</si>
  <si>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</si>
  <si>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</si>
  <si>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</si>
  <si>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</si>
  <si>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</si>
  <si>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</si>
  <si>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</si>
  <si>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</si>
  <si>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</si>
  <si>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</si>
  <si>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</si>
  <si>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</si>
  <si>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</si>
  <si>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</si>
  <si>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</si>
  <si>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</si>
  <si>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</si>
  <si>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</si>
  <si>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</si>
  <si>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</si>
  <si>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</si>
  <si>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</si>
  <si>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</si>
  <si>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</si>
  <si>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</si>
  <si>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</si>
  <si>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</si>
  <si>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</si>
  <si>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</si>
  <si>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</si>
  <si>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</si>
  <si>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</si>
  <si>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</si>
  <si>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</si>
  <si>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</si>
  <si>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</si>
  <si>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</si>
  <si>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</si>
  <si>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</si>
  <si>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</si>
  <si>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</si>
  <si>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</si>
  <si>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</si>
  <si>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</si>
  <si>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</si>
  <si>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</si>
  <si>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</si>
  <si>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</si>
  <si>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</si>
  <si>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</si>
  <si>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</si>
  <si>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</si>
  <si>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</si>
  <si>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</si>
  <si>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</si>
  <si>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</si>
  <si>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</si>
  <si>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</si>
  <si>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</si>
  <si>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</si>
  <si>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</si>
  <si>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</si>
  <si>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</si>
  <si>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</si>
  <si>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</si>
  <si>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</si>
  <si>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</si>
  <si>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</si>
  <si>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</si>
  <si>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</si>
  <si>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</si>
  <si>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</si>
  <si>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</si>
  <si>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</si>
  <si>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</si>
  <si>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</si>
  <si>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</si>
  <si>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</si>
  <si>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</si>
  <si>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</si>
  <si>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</si>
  <si>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</si>
  <si>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</si>
  <si>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</si>
  <si>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</si>
  <si>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</si>
  <si>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</si>
  <si>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</si>
  <si>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</si>
  <si>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</si>
  <si>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</si>
  <si>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</si>
  <si>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</si>
  <si>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</si>
  <si>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</si>
  <si>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</si>
  <si>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</si>
  <si>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</si>
  <si>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</si>
  <si>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</si>
  <si>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</si>
  <si>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</si>
  <si>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</si>
  <si>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</si>
  <si>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</si>
  <si>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</si>
  <si>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</si>
  <si>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</si>
  <si>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</si>
  <si>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</si>
  <si>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</si>
  <si>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</si>
  <si>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</si>
  <si>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</si>
  <si>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</si>
  <si>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</si>
  <si>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</si>
  <si>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</si>
  <si>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</si>
  <si>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</si>
  <si>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</si>
  <si>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</si>
  <si>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</si>
  <si>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</si>
  <si>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</si>
  <si>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</si>
  <si>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</si>
  <si>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</si>
  <si>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</si>
  <si>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</si>
  <si>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</si>
  <si>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</si>
  <si>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</si>
  <si>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</si>
  <si>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</si>
  <si>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</si>
  <si>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</si>
  <si>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</si>
  <si>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</si>
  <si>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</si>
  <si>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</si>
  <si>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</si>
  <si>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</si>
  <si>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</si>
  <si>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</si>
  <si>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</si>
  <si>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</si>
  <si>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</si>
  <si>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</si>
  <si>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</si>
  <si>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</si>
  <si>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</si>
  <si>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</si>
  <si>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</si>
  <si>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</si>
  <si>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</si>
  <si>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</si>
  <si>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</si>
  <si>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</si>
  <si>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</si>
  <si>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</si>
  <si>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</si>
  <si>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</si>
  <si>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</si>
  <si>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</si>
  <si>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</si>
  <si>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</si>
  <si>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</si>
  <si>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</si>
  <si>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</si>
  <si>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</si>
  <si>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</si>
  <si>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</si>
  <si>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</si>
  <si>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</si>
  <si>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</si>
  <si>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</si>
  <si>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</si>
  <si>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</si>
  <si>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</si>
  <si>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</si>
  <si>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</si>
  <si>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</si>
  <si>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</si>
  <si>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</si>
  <si>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</si>
  <si>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</si>
  <si>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</si>
  <si>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</si>
  <si>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</si>
  <si>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</si>
  <si>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</si>
  <si>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</si>
  <si>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</si>
  <si>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</si>
  <si>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</si>
  <si>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</si>
  <si>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</si>
  <si>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</si>
  <si>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</si>
  <si>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</si>
  <si>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</si>
  <si>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</si>
  <si>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</si>
  <si>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</si>
  <si>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</si>
  <si>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</si>
  <si>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</si>
  <si>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</si>
  <si>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</si>
  <si>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</si>
  <si>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</si>
  <si>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</si>
  <si>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</si>
  <si>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</si>
  <si>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</si>
  <si>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</si>
  <si>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</si>
  <si>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</si>
  <si>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</si>
  <si>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</si>
  <si>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</si>
  <si>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</si>
  <si>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</si>
  <si>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</si>
  <si>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</si>
  <si>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</si>
  <si>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</si>
  <si>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</si>
  <si>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</si>
  <si>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</si>
  <si>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</si>
  <si>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</si>
  <si>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</si>
  <si>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</si>
  <si>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</si>
  <si>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</si>
  <si>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</si>
  <si>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</si>
  <si>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</si>
  <si>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</si>
  <si>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</si>
  <si>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</si>
  <si>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</si>
  <si>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</si>
  <si>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</si>
  <si>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</si>
  <si>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</si>
  <si>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</si>
  <si>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</si>
  <si>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</si>
  <si>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</si>
  <si>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</si>
  <si>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</si>
  <si>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</si>
  <si>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</si>
  <si>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</si>
  <si>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</si>
  <si>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</si>
  <si>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</si>
  <si>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</si>
  <si>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</si>
  <si>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</si>
  <si>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</si>
  <si>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</si>
  <si>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</si>
  <si>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</si>
  <si>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</si>
  <si>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</si>
  <si>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</si>
  <si>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</si>
  <si>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</si>
  <si>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</si>
  <si>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</si>
  <si>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</si>
  <si>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</si>
  <si>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</si>
  <si>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</si>
  <si>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</si>
  <si>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</si>
  <si>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</si>
  <si>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</si>
  <si>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</si>
  <si>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</si>
  <si>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</si>
  <si>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</si>
  <si>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</si>
  <si>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</si>
  <si>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</si>
  <si>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</si>
  <si>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</si>
  <si>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</si>
  <si>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</si>
  <si>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</si>
  <si>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</si>
  <si>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</si>
  <si>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</si>
  <si>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</si>
  <si>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</si>
  <si>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</si>
  <si>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</si>
  <si>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</si>
  <si>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</si>
  <si>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</si>
  <si>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</si>
  <si>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</si>
  <si>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</si>
  <si>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</si>
  <si>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</si>
  <si>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</si>
  <si>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</si>
  <si>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</si>
  <si>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</si>
  <si>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</si>
  <si>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</si>
  <si>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</si>
  <si>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</si>
  <si>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</si>
  <si>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</si>
  <si>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</si>
  <si>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</si>
  <si>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</si>
  <si>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</si>
  <si>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</si>
  <si>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</si>
  <si>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</si>
  <si>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</si>
  <si>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</si>
  <si>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</si>
  <si>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</si>
  <si>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</si>
  <si>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</si>
  <si>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</si>
  <si>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</si>
  <si>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</si>
  <si>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</si>
  <si>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</si>
  <si>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</si>
  <si>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</si>
  <si>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</si>
  <si>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</si>
  <si>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</si>
  <si>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</si>
  <si>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</si>
  <si>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</si>
  <si>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</si>
  <si>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</si>
  <si>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</si>
  <si>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</si>
  <si>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</si>
  <si>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</si>
  <si>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</si>
  <si>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</si>
  <si>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</si>
  <si>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</si>
  <si>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</si>
  <si>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</si>
  <si>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</si>
  <si>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</si>
  <si>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</si>
  <si>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</si>
  <si>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</si>
  <si>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</si>
  <si>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</si>
  <si>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</si>
  <si>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</si>
  <si>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</si>
  <si>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</si>
  <si>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</si>
  <si>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</si>
  <si>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</si>
  <si>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</si>
  <si>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</si>
  <si>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</si>
  <si>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</si>
  <si>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</si>
  <si>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</si>
  <si>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</si>
  <si>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</si>
  <si>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</si>
  <si>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</si>
  <si>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</si>
  <si>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</si>
  <si>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</si>
  <si>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</si>
  <si>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</si>
  <si>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</si>
  <si>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</si>
  <si>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</si>
  <si>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</si>
  <si>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</si>
  <si>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</si>
  <si>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</si>
  <si>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</si>
  <si>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</si>
  <si>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</si>
  <si>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</si>
  <si>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</si>
  <si>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</si>
  <si>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</si>
  <si>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</si>
  <si>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</si>
  <si>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</si>
  <si>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</si>
  <si>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</si>
  <si>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</si>
  <si>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</si>
  <si>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</si>
  <si>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</si>
  <si>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</si>
  <si>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</si>
  <si>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</si>
  <si>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</si>
  <si>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</si>
  <si>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</si>
  <si>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</si>
  <si>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</si>
  <si>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</si>
  <si>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</si>
  <si>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</si>
  <si>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</si>
  <si>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</si>
  <si>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</si>
  <si>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</si>
  <si>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</si>
  <si>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</si>
  <si>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</si>
  <si>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</si>
  <si>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</si>
  <si>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</si>
  <si>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</si>
  <si>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</si>
  <si>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</si>
  <si>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</si>
  <si>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</si>
  <si>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</si>
  <si>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</si>
  <si>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</si>
  <si>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</si>
  <si>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</si>
  <si>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</si>
  <si>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</si>
  <si>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</si>
  <si>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</si>
  <si>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</si>
  <si>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</si>
  <si>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</si>
  <si>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</si>
  <si>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</si>
  <si>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</si>
  <si>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</si>
  <si>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</si>
  <si>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</si>
  <si>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</si>
  <si>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</si>
  <si>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</si>
  <si>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</si>
  <si>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</si>
  <si>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</si>
  <si>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</si>
  <si>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</si>
  <si>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</si>
  <si>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</si>
  <si>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</si>
  <si>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</si>
  <si>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</si>
  <si>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</si>
  <si>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</si>
  <si>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</si>
  <si>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</si>
  <si>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</si>
  <si>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</si>
  <si>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</si>
  <si>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</si>
  <si>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</si>
  <si>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</si>
  <si>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</si>
  <si>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</si>
  <si>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</si>
  <si>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</si>
  <si>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</si>
  <si>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</si>
  <si>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</si>
  <si>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</si>
  <si>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</si>
  <si>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</si>
  <si>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</si>
  <si>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</si>
  <si>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</si>
  <si>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</si>
  <si>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</si>
  <si>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</si>
  <si>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</si>
  <si>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</si>
  <si>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</si>
  <si>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</si>
  <si>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</si>
  <si>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</si>
  <si>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</si>
  <si>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</si>
  <si>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</si>
  <si>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</si>
  <si>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</si>
  <si>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</si>
  <si>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</si>
  <si>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</si>
  <si>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</si>
  <si>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</si>
  <si>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</si>
  <si>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</si>
  <si>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</si>
  <si>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</si>
  <si>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</si>
  <si>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</si>
  <si>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</si>
  <si>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</si>
  <si>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</si>
  <si>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</si>
  <si>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</si>
  <si>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</si>
  <si>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</si>
  <si>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</si>
  <si>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</si>
  <si>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</si>
  <si>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</si>
  <si>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</si>
  <si>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</si>
  <si>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</si>
  <si>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</si>
  <si>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</si>
  <si>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</si>
  <si>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</si>
  <si>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</si>
  <si>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</si>
  <si>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</si>
  <si>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</si>
  <si>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</si>
  <si>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</si>
  <si>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</si>
  <si>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</si>
  <si>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</si>
  <si>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</si>
  <si>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</si>
  <si>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</si>
  <si>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</si>
  <si>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</si>
  <si>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</si>
  <si>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</si>
  <si>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</si>
  <si>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</si>
  <si>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</si>
  <si>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</si>
  <si>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</si>
  <si>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</si>
  <si>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</si>
  <si>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</si>
  <si>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</si>
  <si>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</si>
  <si>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</si>
  <si>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</si>
  <si>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</si>
  <si>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</si>
  <si>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</si>
  <si>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</si>
  <si>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</si>
  <si>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</si>
  <si>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</si>
  <si>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</si>
  <si>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</si>
  <si>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</si>
  <si>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</si>
  <si>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</si>
  <si>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</si>
  <si>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</si>
  <si>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</si>
  <si>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</si>
  <si>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</si>
  <si>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</si>
  <si>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</si>
  <si>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</si>
  <si>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</si>
  <si>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</si>
  <si>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</si>
  <si>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</si>
  <si>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</si>
  <si>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</si>
  <si>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</si>
  <si>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</si>
  <si>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</si>
  <si>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</si>
  <si>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</si>
  <si>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</si>
  <si>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</si>
  <si>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</si>
  <si>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</si>
  <si>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</si>
  <si>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</si>
  <si>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</si>
  <si>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</si>
  <si>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</si>
  <si>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</si>
  <si>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</si>
  <si>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</si>
  <si>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</si>
  <si>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</si>
  <si>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</si>
  <si>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</si>
  <si>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</si>
  <si>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</si>
  <si>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</si>
  <si>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</si>
  <si>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</si>
  <si>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</si>
  <si>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</si>
  <si>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</si>
  <si>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</si>
  <si>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</si>
  <si>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</si>
  <si>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</si>
  <si>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</si>
  <si>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</si>
  <si>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</si>
  <si>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</si>
  <si>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</si>
  <si>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</si>
  <si>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</si>
  <si>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</si>
  <si>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</si>
  <si>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</si>
  <si>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</si>
  <si>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</si>
  <si>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</si>
  <si>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</si>
  <si>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</si>
  <si>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</si>
  <si>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</si>
  <si>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</si>
  <si>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</si>
  <si>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</si>
  <si>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</si>
  <si>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</si>
  <si>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</si>
  <si>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</si>
  <si>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</si>
  <si>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</si>
  <si>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</si>
  <si>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</si>
  <si>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</si>
  <si>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</si>
  <si>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</si>
  <si>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</si>
  <si>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</si>
  <si>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</si>
  <si>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</si>
  <si>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</si>
  <si>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</si>
  <si>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</si>
  <si>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</si>
  <si>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</si>
  <si>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</si>
  <si>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</si>
  <si>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</si>
  <si>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</si>
  <si>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</si>
  <si>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</si>
  <si>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</si>
  <si>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</si>
  <si>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</si>
  <si>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</si>
  <si>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</si>
  <si>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</si>
  <si>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</si>
  <si>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</si>
  <si>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</si>
  <si>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</si>
  <si>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</si>
  <si>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</si>
  <si>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</si>
  <si>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</si>
  <si>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</si>
  <si>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</si>
  <si>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</si>
  <si>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</si>
  <si>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</si>
  <si>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</si>
  <si>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</si>
  <si>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</si>
  <si>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</si>
  <si>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</si>
  <si>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</si>
  <si>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</si>
  <si>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</si>
  <si>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</si>
  <si>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</si>
  <si>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</si>
  <si>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</si>
  <si>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</si>
  <si>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</si>
  <si>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</si>
  <si>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</si>
  <si>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</si>
  <si>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</si>
  <si>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</si>
  <si>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</si>
  <si>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</si>
  <si>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Dakota Carroll</t>
  </si>
  <si>
    <t>Supply Chain Sustainability Manager</t>
  </si>
  <si>
    <t>dcarroll@amphenol.com</t>
  </si>
  <si>
    <t>Amphenol Responsible Minerals Policy</t>
  </si>
  <si>
    <t>https://amphenol.com/docs/responsible-minerals-policy</t>
  </si>
  <si>
    <t>Responsible Minerals management software validates Smelter, Refiner, and Processor data prior to system acceptance. In event Smelter, Refiner, and Processor status changes post-acceptance, comprehensive evaluation and rectification actions are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</si>
</sst>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70"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3">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310.5">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8">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16">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16">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3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89A2F7B-3CBD-44D1-A9E1-1C40B2D1C4D7}"/>
    </customSheetView>
    <customSheetView guid="{4BDF1A28-30D5-449D-B20E-D6C97EF9FAE1}" showAutoFilter="1">
      <selection activeCell="C174" sqref="C174"/>
      <pageMargins left="0" right="0" top="0" bottom="0" header="0" footer="0"/>
      <pageSetup paperSize="9" orientation="portrait"/>
      <autoFilter ref="B1:N1" xr:uid="{BB5EE077-1932-45AD-848D-8C30F285C7AF}"/>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DED225D-A127-49A1-BADC-CFB0088CC3A9}"/>
    </customSheetView>
    <customSheetView guid="{4BDF1A28-30D5-449D-B20E-D6C97EF9FAE1}" showAutoFilter="1">
      <selection activeCell="C1" sqref="C1:D65536"/>
      <pageMargins left="0" right="0" top="0" bottom="0" header="0" footer="0"/>
      <pageSetup orientation="portrait"/>
      <autoFilter ref="B1:C1" xr:uid="{55C7BE77-7B18-469A-8B64-0C6CAD62663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abSelected="1" topLeftCell="A2" workbookViewId="0">
      <pane xSplit="1" ySplit="11" topLeftCell="B22"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zoomScaleNormal="100" workbookViewId="0">
      <selection activeCell="D8" sqref="D8:J8"/>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43"/>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27"/>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24"/>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4"/>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2"/>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24"/>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24" t="s">
        <v>20051</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24" t="s">
        <v>20052</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2" t="s">
        <v>20053</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24"/>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35"/>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03" t="s">
        <v>19143</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9" t="str">
        <f t="shared" si="32"/>
        <v>Copper(*)</v>
      </c>
      <c r="C31" s="28"/>
      <c r="D31" s="403" t="s">
        <v>19143</v>
      </c>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3">
      <c r="A32" s="34"/>
      <c r="B32" s="299" t="str">
        <f t="shared" si="32"/>
        <v>Graphite(*)</v>
      </c>
      <c r="C32" s="28"/>
      <c r="D32" s="403" t="s">
        <v>19143</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03" t="s">
        <v>19143</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03" t="s">
        <v>19143</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03" t="s">
        <v>19143</v>
      </c>
      <c r="E35" s="404"/>
      <c r="F35" s="8"/>
      <c r="G35" s="405"/>
      <c r="H35" s="406"/>
      <c r="I35" s="406"/>
      <c r="J35" s="407"/>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03" t="s">
        <v>19143</v>
      </c>
      <c r="E42" s="404"/>
      <c r="F42" s="8"/>
      <c r="G42" s="405"/>
      <c r="H42" s="406"/>
      <c r="I42" s="406"/>
      <c r="J42" s="407"/>
      <c r="K42" s="29"/>
      <c r="L42" s="105"/>
      <c r="P42" s="301" t="str">
        <f>IF(OR(D30="No",D30="Unknown",D30="Not declaring"),"",O30)</f>
        <v>(*)</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3">
      <c r="A43" s="34"/>
      <c r="B43" s="300" t="str">
        <f t="shared" si="36"/>
        <v>Copper(*)</v>
      </c>
      <c r="C43" s="28"/>
      <c r="D43" s="403" t="s">
        <v>19143</v>
      </c>
      <c r="E43" s="404"/>
      <c r="F43" s="8"/>
      <c r="G43" s="405"/>
      <c r="H43" s="406"/>
      <c r="I43" s="406"/>
      <c r="J43" s="407"/>
      <c r="K43" s="29"/>
      <c r="L43" s="105"/>
      <c r="P43" s="301" t="str">
        <f t="shared" ref="P43:P51" si="45">IF(OR(D31="No",D31="Unknown",D31="Not declaring"),"",O31)</f>
        <v>(*)</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3">
      <c r="A44" s="34"/>
      <c r="B44" s="300" t="str">
        <f t="shared" si="36"/>
        <v>Graphite(*)</v>
      </c>
      <c r="C44" s="28"/>
      <c r="D44" s="403" t="s">
        <v>19143</v>
      </c>
      <c r="E44" s="404"/>
      <c r="F44" s="8"/>
      <c r="G44" s="405"/>
      <c r="H44" s="406"/>
      <c r="I44" s="406"/>
      <c r="J44" s="407"/>
      <c r="K44" s="29"/>
      <c r="L44" s="105"/>
      <c r="P44" s="301" t="str">
        <f t="shared" si="45"/>
        <v>(*)</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Lithium(*)</v>
      </c>
      <c r="C45" s="28"/>
      <c r="D45" s="403" t="s">
        <v>19143</v>
      </c>
      <c r="E45" s="404"/>
      <c r="F45" s="8"/>
      <c r="G45" s="405"/>
      <c r="H45" s="406"/>
      <c r="I45" s="406"/>
      <c r="J45" s="407"/>
      <c r="K45" s="29"/>
      <c r="L45" s="105"/>
      <c r="P45" s="301" t="str">
        <f t="shared" si="45"/>
        <v>(*)</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03" t="s">
        <v>19143</v>
      </c>
      <c r="E46" s="404"/>
      <c r="F46" s="8"/>
      <c r="G46" s="405"/>
      <c r="H46" s="406"/>
      <c r="I46" s="406"/>
      <c r="J46" s="407"/>
      <c r="K46" s="29"/>
      <c r="L46" s="105"/>
      <c r="P46" s="301" t="str">
        <f t="shared" si="45"/>
        <v>(*)</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03" t="s">
        <v>19143</v>
      </c>
      <c r="E47" s="404"/>
      <c r="F47" s="8"/>
      <c r="G47" s="405"/>
      <c r="H47" s="406"/>
      <c r="I47" s="406"/>
      <c r="J47" s="407"/>
      <c r="K47" s="29"/>
      <c r="L47" s="105"/>
      <c r="P47" s="301" t="str">
        <f t="shared" si="45"/>
        <v>(*)</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03" t="s">
        <v>19143</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03" t="s">
        <v>19143</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03" t="s">
        <v>19143</v>
      </c>
      <c r="E56" s="404"/>
      <c r="F56" s="40"/>
      <c r="G56" s="405"/>
      <c r="H56" s="406"/>
      <c r="I56" s="406"/>
      <c r="J56" s="407"/>
      <c r="K56" s="29"/>
      <c r="L56" s="105"/>
      <c r="P56" s="301" t="str">
        <f t="shared" si="135"/>
        <v>(*)</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03" t="s">
        <v>19143</v>
      </c>
      <c r="E57" s="404"/>
      <c r="F57" s="40"/>
      <c r="G57" s="405"/>
      <c r="H57" s="406"/>
      <c r="I57" s="406"/>
      <c r="J57" s="407"/>
      <c r="K57" s="29"/>
      <c r="L57" s="105"/>
      <c r="P57" s="301" t="str">
        <f t="shared" si="135"/>
        <v>(*)</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03" t="s">
        <v>19143</v>
      </c>
      <c r="E58" s="404"/>
      <c r="F58" s="40"/>
      <c r="G58" s="405"/>
      <c r="H58" s="406"/>
      <c r="I58" s="406"/>
      <c r="J58" s="407"/>
      <c r="K58" s="29"/>
      <c r="L58" s="105"/>
      <c r="P58" s="301" t="str">
        <f t="shared" si="135"/>
        <v>(*)</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03" t="s">
        <v>19143</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03" t="s">
        <v>19143</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03" t="s">
        <v>19143</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03" t="s">
        <v>19143</v>
      </c>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03" t="s">
        <v>19143</v>
      </c>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03" t="s">
        <v>19143</v>
      </c>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03" t="s">
        <v>19143</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03" t="s">
        <v>19143</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03" t="s">
        <v>19143</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03" t="s">
        <v>19143</v>
      </c>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t="s">
        <v>19143</v>
      </c>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t="s">
        <v>19143</v>
      </c>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19143</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03" t="s">
        <v>19143</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03" t="s">
        <v>19143</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03" t="s">
        <v>19143</v>
      </c>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03" t="s">
        <v>19143</v>
      </c>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03" t="s">
        <v>19143</v>
      </c>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03" t="s">
        <v>19143</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03" t="s">
        <v>19143</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03" t="s">
        <v>19143</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03" t="s">
        <v>19143</v>
      </c>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03" t="s">
        <v>19143</v>
      </c>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03" t="s">
        <v>19143</v>
      </c>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03" t="s">
        <v>19143</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t="s">
        <v>20054</v>
      </c>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13" t="s">
        <v>20055</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03" t="s">
        <v>22</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03" t="s">
        <v>22</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03" t="s">
        <v>22</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03" t="s">
        <v>22</v>
      </c>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03" t="s">
        <v>22</v>
      </c>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03" t="s">
        <v>22</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t="s">
        <v>20056</v>
      </c>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
      </c>
      <c r="D2" s="133">
        <f ca="1">IF(H125=0,"0",H125)</f>
        <v>12</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f>Declaration!D8</f>
        <v>0</v>
      </c>
      <c r="C4" s="136" t="str">
        <f t="shared" ref="C4:C11" ca="1" si="0">IF(H4=1,J4,I4)</f>
        <v>Provide your company name on the Declaration tab cell D8</v>
      </c>
      <c r="D4" s="204" t="str">
        <f>IF(H4=1,"Click here to enter Company Name","")</f>
        <v>Click here to enter Company Name</v>
      </c>
      <c r="E4" s="16" t="s">
        <v>15</v>
      </c>
      <c r="F4" s="83">
        <v>1</v>
      </c>
      <c r="G4" s="62">
        <f t="shared" ref="G4:G11" si="1">IF(B4=0,1,0)</f>
        <v>1</v>
      </c>
      <c r="H4" s="63">
        <f t="shared" ref="H4:H17" si="2">F4*G4</f>
        <v>1</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f>Declaration!D9</f>
        <v>0</v>
      </c>
      <c r="C5" s="136" t="str">
        <f t="shared" ca="1" si="0"/>
        <v>Select the scope of declaration on the Declaration tab cell D9</v>
      </c>
      <c r="D5" s="85" t="str">
        <f>IF(H5=1,"Click here to enter Declaration Scope","")</f>
        <v>Click here to enter Declaration Scope</v>
      </c>
      <c r="E5" s="16" t="s">
        <v>15</v>
      </c>
      <c r="F5" s="83">
        <v>1</v>
      </c>
      <c r="G5" s="62">
        <f t="shared" si="1"/>
        <v>1</v>
      </c>
      <c r="H5" s="63">
        <f t="shared" si="2"/>
        <v>1</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f>Declaration!D19</f>
        <v>0</v>
      </c>
      <c r="C9" s="136" t="str">
        <f t="shared" ca="1" si="0"/>
        <v xml:space="preserve">Provide contact name in Declaration tab cell D19 </v>
      </c>
      <c r="D9" s="317" t="str">
        <f>IF(H9=1,"Click here to enter Contact Name","")</f>
        <v>Click here to enter Contact Name</v>
      </c>
      <c r="E9" s="16" t="s">
        <v>15</v>
      </c>
      <c r="F9" s="83">
        <v>1</v>
      </c>
      <c r="G9" s="62">
        <f t="shared" si="1"/>
        <v>1</v>
      </c>
      <c r="H9" s="63">
        <f t="shared" si="2"/>
        <v>1</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f>Declaration!D20</f>
        <v>0</v>
      </c>
      <c r="C10" s="136" t="str">
        <f t="shared" ca="1" si="0"/>
        <v>Provide a valid email for contact in Declaration tab cell D20</v>
      </c>
      <c r="D10" s="316" t="str">
        <f>IF(H10=1,"Click here to enter Email-Contact","")</f>
        <v>Click here to enter Email-Contact</v>
      </c>
      <c r="E10" s="16" t="s">
        <v>15</v>
      </c>
      <c r="F10" s="83">
        <v>1</v>
      </c>
      <c r="G10" s="62">
        <f>IF(ISNUMBER(SEARCH("@",B10)),0,1)</f>
        <v>1</v>
      </c>
      <c r="H10" s="63">
        <f t="shared" si="2"/>
        <v>1</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f>Declaration!D21</f>
        <v>0</v>
      </c>
      <c r="C11" s="136" t="str">
        <f t="shared" ca="1" si="0"/>
        <v>Provide a phone number for contact in Declaration tab cell D21</v>
      </c>
      <c r="D11" s="316" t="str">
        <f>IF(H11=1,"Click here to enter Phone-Contact","")</f>
        <v>Click here to enter Phone-Contact</v>
      </c>
      <c r="E11" s="16" t="s">
        <v>15</v>
      </c>
      <c r="F11" s="83">
        <v>1</v>
      </c>
      <c r="G11" s="62">
        <f t="shared" si="1"/>
        <v>1</v>
      </c>
      <c r="H11" s="63">
        <f t="shared" si="2"/>
        <v>1</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Dakota Carroll</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dcarroll@amphenol.com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0</v>
      </c>
      <c r="C15" s="79" t="str">
        <f t="shared" ca="1" si="3"/>
        <v>Provide date the form was completed on Declaration tab cell D26</v>
      </c>
      <c r="D15" s="316" t="str">
        <f>IF(H15=1,"Click here to enter Date of Completion","")</f>
        <v>Click here to enter Date of Completion</v>
      </c>
      <c r="E15" s="16" t="s">
        <v>15</v>
      </c>
      <c r="F15" s="83">
        <v>1</v>
      </c>
      <c r="G15" s="62">
        <f t="shared" si="4"/>
        <v>1</v>
      </c>
      <c r="H15" s="63">
        <f t="shared" si="2"/>
        <v>1</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t="str">
        <f>Declaration!D32</f>
        <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t="str">
        <f>Declaration!D33</f>
        <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t="str">
        <f>Declaration!D34</f>
        <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t="str">
        <f>Declaration!D35</f>
        <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t="str">
        <f>Declaration!D42</f>
        <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t="str">
        <f>Declaration!D43</f>
        <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Graphite(*)</v>
      </c>
      <c r="B30" s="79" t="str">
        <f>Declaration!D44</f>
        <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Lithium(*)</v>
      </c>
      <c r="B31" s="79" t="str">
        <f>Declaration!D45</f>
        <v/>
      </c>
      <c r="C31" s="136" t="str">
        <f t="shared" ca="1" si="9"/>
        <v>Complete</v>
      </c>
      <c r="D31" s="316" t="str">
        <f t="shared" si="10"/>
        <v/>
      </c>
      <c r="E31" s="16"/>
      <c r="F31" s="84">
        <f t="shared" si="11"/>
        <v>1</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t="str">
        <f>Declaration!D46</f>
        <v/>
      </c>
      <c r="C32" s="136" t="str">
        <f t="shared" ca="1" si="9"/>
        <v>Complete</v>
      </c>
      <c r="D32" s="316" t="str">
        <f t="shared" si="10"/>
        <v/>
      </c>
      <c r="E32" s="16"/>
      <c r="F32" s="84">
        <f t="shared" si="11"/>
        <v>1</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t="str">
        <f>Declaration!D47</f>
        <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t="str">
        <f>Declaration!D54</f>
        <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t="str">
        <f>Declaration!D55</f>
        <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Graphite(*)</v>
      </c>
      <c r="B41" s="79" t="str">
        <f>Declaration!D56</f>
        <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Lithium(*)</v>
      </c>
      <c r="B42" s="79" t="str">
        <f>Declaration!D57</f>
        <v/>
      </c>
      <c r="C42" s="136" t="str">
        <f t="shared" ca="1" si="3"/>
        <v>Complete</v>
      </c>
      <c r="D42" s="318" t="str">
        <f t="shared" si="16"/>
        <v/>
      </c>
      <c r="E42" s="16"/>
      <c r="F42" s="84">
        <f t="shared" si="17"/>
        <v>1</v>
      </c>
      <c r="G42" s="62">
        <f t="shared" si="18"/>
        <v>0</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t="str">
        <f>Declaration!D58</f>
        <v/>
      </c>
      <c r="C43" s="136" t="str">
        <f t="shared" ca="1" si="3"/>
        <v>Complete</v>
      </c>
      <c r="D43" s="318" t="str">
        <f t="shared" si="16"/>
        <v/>
      </c>
      <c r="E43" s="16"/>
      <c r="F43" s="84">
        <f t="shared" si="17"/>
        <v>1</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t="str">
        <f>Declaration!D59</f>
        <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t="str">
        <f>Declaration!D68</f>
        <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t="str">
        <f>Declaration!D69</f>
        <v/>
      </c>
      <c r="C53" s="136" t="str">
        <f t="shared" ca="1" si="20"/>
        <v>Complete</v>
      </c>
      <c r="D53" s="318" t="str">
        <f t="shared" si="21"/>
        <v/>
      </c>
      <c r="E53" s="16"/>
      <c r="F53" s="84">
        <f t="shared" si="22"/>
        <v>1</v>
      </c>
      <c r="G53" s="62">
        <f t="shared" si="23"/>
        <v>0</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
      </c>
      <c r="C54" s="136" t="str">
        <f t="shared" ca="1" si="20"/>
        <v>Complete</v>
      </c>
      <c r="D54" s="318" t="str">
        <f t="shared" si="21"/>
        <v/>
      </c>
      <c r="E54" s="16"/>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t="str">
        <f>Declaration!D78</f>
        <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t="str">
        <f>Declaration!D79</f>
        <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Graphite(*)</v>
      </c>
      <c r="B63" s="79" t="str">
        <f>Declaration!D80</f>
        <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Lithium(*)</v>
      </c>
      <c r="B64" s="79" t="str">
        <f>Declaration!D81</f>
        <v/>
      </c>
      <c r="C64" s="136" t="str">
        <f t="shared" ca="1" si="3"/>
        <v>Complete</v>
      </c>
      <c r="D64" s="319" t="str">
        <f t="shared" si="25"/>
        <v/>
      </c>
      <c r="E64" s="16"/>
      <c r="F64" s="84">
        <f t="shared" si="26"/>
        <v>1</v>
      </c>
      <c r="G64" s="62">
        <f t="shared" si="27"/>
        <v>0</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t="str">
        <f>Declaration!D82</f>
        <v/>
      </c>
      <c r="C65" s="136" t="str">
        <f t="shared" ca="1" si="3"/>
        <v>Complete</v>
      </c>
      <c r="D65" s="319" t="str">
        <f t="shared" si="25"/>
        <v/>
      </c>
      <c r="E65" s="16"/>
      <c r="F65" s="84">
        <f t="shared" si="26"/>
        <v>1</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t="str">
        <f>Declaration!D83</f>
        <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t="str">
        <f>Declaration!D90</f>
        <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t="str">
        <f>Declaration!D91</f>
        <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Graphite(*)</v>
      </c>
      <c r="B74" s="79" t="str">
        <f>Declaration!D92</f>
        <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Lithium(*)</v>
      </c>
      <c r="B75" s="79" t="str">
        <f>Declaration!D93</f>
        <v/>
      </c>
      <c r="C75" s="136" t="str">
        <f t="shared" ca="1" si="31"/>
        <v>Complete</v>
      </c>
      <c r="D75" s="319" t="str">
        <f t="shared" si="32"/>
        <v/>
      </c>
      <c r="E75" s="16"/>
      <c r="F75" s="84">
        <f t="shared" si="33"/>
        <v>1</v>
      </c>
      <c r="G75" s="62">
        <f t="shared" si="34"/>
        <v>0</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t="str">
        <f>Declaration!D94</f>
        <v/>
      </c>
      <c r="C76" s="136" t="str">
        <f t="shared" ca="1" si="31"/>
        <v>Complete</v>
      </c>
      <c r="D76" s="319" t="str">
        <f t="shared" si="32"/>
        <v/>
      </c>
      <c r="E76" s="16"/>
      <c r="F76" s="84">
        <f t="shared" si="33"/>
        <v>1</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t="str">
        <f>Declaration!D95</f>
        <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t="str">
        <f>Declaration!D102</f>
        <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t="str">
        <f>Declaration!D103</f>
        <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t="str">
        <f>Declaration!D104</f>
        <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t="str">
        <f>Declaration!D105</f>
        <v/>
      </c>
      <c r="C86" s="136" t="str">
        <f t="shared" ca="1" si="36"/>
        <v>Complete</v>
      </c>
      <c r="D86" s="319" t="str">
        <f t="shared" si="39"/>
        <v/>
      </c>
      <c r="E86" s="16"/>
      <c r="F86" s="84">
        <f t="shared" si="40"/>
        <v>1</v>
      </c>
      <c r="G86" s="62">
        <f t="shared" si="41"/>
        <v>0</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t="str">
        <f>Declaration!D106</f>
        <v/>
      </c>
      <c r="C87" s="136" t="str">
        <f t="shared" ca="1" si="36"/>
        <v>Complete</v>
      </c>
      <c r="D87" s="319" t="str">
        <f t="shared" si="39"/>
        <v/>
      </c>
      <c r="E87" s="16"/>
      <c r="F87" s="84">
        <f t="shared" si="40"/>
        <v>1</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t="str">
        <f>Declaration!D107</f>
        <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https://amphenol.com/docs/responsible-minerals-policy</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21" t="str">
        <f t="shared" si="46"/>
        <v/>
      </c>
      <c r="E101" s="16"/>
      <c r="F101" s="84">
        <f t="shared" si="45"/>
        <v>1</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1" t="str">
        <f t="shared" si="46"/>
        <v/>
      </c>
      <c r="E102" s="16"/>
      <c r="F102" s="84">
        <f t="shared" si="45"/>
        <v>1</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Provide list of specified mineral smelters contributing material to supply chain on Smelter List tab</v>
      </c>
      <c r="D114" s="379" t="str">
        <f>IF(H114=0,"","Click here to provide smelter information")</f>
        <v>Click here to provide smelter information</v>
      </c>
      <c r="E114" s="16" t="s">
        <v>15</v>
      </c>
      <c r="F114" s="84">
        <f>F39</f>
        <v>1</v>
      </c>
      <c r="G114" s="62">
        <f>IF(AND(COUNTIF(SmelterIdetifiedForMetal,A114)&gt;0,COUNTIF('Smelter List'!AB$5:AB$2504,A114)&gt;0),0,1)</f>
        <v>1</v>
      </c>
      <c r="H114" s="63">
        <f>F114*G114</f>
        <v>1</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Provide list of specified mineral smelters contributing material to supply chain on Smelter List tab</v>
      </c>
      <c r="D115" s="379" t="str">
        <f>IF(H115=0,"","Click here to provide smelter information")</f>
        <v>Click here to provide smelter information</v>
      </c>
      <c r="E115" s="16"/>
      <c r="F115" s="84">
        <f>F40</f>
        <v>1</v>
      </c>
      <c r="G115" s="62">
        <f>IF(AND(COUNTIF(SmelterIdetifiedForMetal,A115)&gt;0,COUNTIF('Smelter List'!AB$5:AB$2504,A115)&gt;0),0,1)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Graphite</v>
      </c>
      <c r="B116" s="79"/>
      <c r="C116" s="136" t="str">
        <f t="shared" ca="1" si="49"/>
        <v>Provide list of specified mineral smelters contributing material to supply chain on Smelter List tab</v>
      </c>
      <c r="D116" s="379" t="str">
        <f t="shared" ref="D116:D119" si="51">IF(H116=0,"","Click here to provide smelter information")</f>
        <v>Click here to provide smelter information</v>
      </c>
      <c r="E116" s="16"/>
      <c r="F116" s="84">
        <f t="shared" ref="F116:F119" si="52">F41</f>
        <v>1</v>
      </c>
      <c r="G116" s="62">
        <f>IF(AND(COUNTIF(SmelterIdetifiedForMetal,A116)&gt;0,COUNTIF('Smelter List'!AB$5:AB$2504,A116)&gt;0),0,1)</f>
        <v>1</v>
      </c>
      <c r="H116" s="63">
        <f t="shared" ref="H116:H119" si="53">F116*G116</f>
        <v>1</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Lithium</v>
      </c>
      <c r="B117" s="79"/>
      <c r="C117" s="136" t="str">
        <f t="shared" ca="1" si="49"/>
        <v>Provide list of specified mineral smelters contributing material to supply chain on Smelter List tab</v>
      </c>
      <c r="D117" s="379" t="str">
        <f t="shared" si="51"/>
        <v>Click here to provide smelter information</v>
      </c>
      <c r="E117" s="16"/>
      <c r="F117" s="84">
        <f t="shared" si="52"/>
        <v>1</v>
      </c>
      <c r="G117" s="62">
        <f>IF(AND(COUNTIF(SmelterIdetifiedForMetal,A117)&gt;0,COUNTIF('Smelter List'!AB$5:AB$2504,A117)&gt;0),0,1)</f>
        <v>1</v>
      </c>
      <c r="H117" s="63">
        <f t="shared" si="53"/>
        <v>1</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Mica</v>
      </c>
      <c r="B118" s="79"/>
      <c r="C118" s="136" t="str">
        <f t="shared" ca="1" si="49"/>
        <v>Provide list of specified mineral smelters contributing material to supply chain on Smelter List tab</v>
      </c>
      <c r="D118" s="379" t="str">
        <f t="shared" si="51"/>
        <v>Click here to provide smelter information</v>
      </c>
      <c r="E118" s="16"/>
      <c r="F118" s="84">
        <f t="shared" si="52"/>
        <v>1</v>
      </c>
      <c r="G118" s="62">
        <f>IF(AND(COUNTIF(SmelterIdetifiedForMetal,A118)&gt;0,COUNTIF('Smelter List'!AB$5:AB$2504,A118)&gt;0),0,1)</f>
        <v>1</v>
      </c>
      <c r="H118" s="63">
        <f t="shared" si="53"/>
        <v>1</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Nickel</v>
      </c>
      <c r="B119" s="79"/>
      <c r="C119" s="136" t="str">
        <f t="shared" ca="1" si="49"/>
        <v>Provide list of specified mineral smelters contributing material to supply chain on Smelter List tab</v>
      </c>
      <c r="D119" s="379" t="str">
        <f t="shared" si="51"/>
        <v>Click here to provide smelter information</v>
      </c>
      <c r="E119" s="16"/>
      <c r="F119" s="84">
        <f t="shared" si="52"/>
        <v>1</v>
      </c>
      <c r="G119" s="62">
        <f>IF(AND(COUNTIF(SmelterIdetifiedForMetal,A119)&gt;0,COUNTIF('Smelter List'!AB$5:AB$2504,A119)&gt;0),0,1)</f>
        <v>1</v>
      </c>
      <c r="H119" s="63">
        <f t="shared" si="53"/>
        <v>1</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12</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Barbara Baker</cp:lastModifiedBy>
  <dcterms:created xsi:type="dcterms:W3CDTF">2010-06-21T21:00:23Z</dcterms:created>
  <dcterms:modified xsi:type="dcterms:W3CDTF">2025-10-07T15:43:31Z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